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dparas\Desktop\DESKTOP\01 Ongoing Efforts\OMNIA (Cobb)\05 QUOTES\"/>
    </mc:Choice>
  </mc:AlternateContent>
  <xr:revisionPtr revIDLastSave="0" documentId="13_ncr:1_{72096A03-E201-4029-A562-4196CEFFF6D9}" xr6:coauthVersionLast="45" xr6:coauthVersionMax="47" xr10:uidLastSave="{00000000-0000-0000-0000-000000000000}"/>
  <bookViews>
    <workbookView xWindow="-38510" yWindow="-7270" windowWidth="38620" windowHeight="2122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2705" i="1" l="1"/>
  <c r="E2704" i="1"/>
  <c r="E2703" i="1"/>
  <c r="E2702" i="1"/>
  <c r="E2701" i="1"/>
  <c r="E2700" i="1"/>
  <c r="E2699" i="1"/>
  <c r="E2698" i="1"/>
  <c r="E2697" i="1"/>
  <c r="E2696" i="1"/>
  <c r="E2695" i="1"/>
  <c r="E2694" i="1"/>
  <c r="E2693" i="1"/>
  <c r="E2692" i="1"/>
  <c r="E2691" i="1"/>
  <c r="E2690" i="1"/>
  <c r="E2689" i="1"/>
  <c r="E2688" i="1"/>
  <c r="E2687" i="1"/>
  <c r="E2686" i="1"/>
  <c r="E2685" i="1"/>
  <c r="E2684" i="1"/>
  <c r="E2683" i="1"/>
  <c r="E2682" i="1"/>
  <c r="E2681" i="1"/>
  <c r="E2680" i="1"/>
  <c r="E2679" i="1"/>
  <c r="E2678" i="1"/>
  <c r="E2677" i="1"/>
  <c r="E2676" i="1"/>
  <c r="E2675" i="1"/>
  <c r="E2674" i="1"/>
  <c r="E2673" i="1"/>
  <c r="E2672" i="1"/>
  <c r="E2671" i="1"/>
  <c r="E2670" i="1"/>
  <c r="E2669" i="1"/>
  <c r="E2668" i="1"/>
  <c r="E2667" i="1"/>
  <c r="E2666" i="1"/>
  <c r="E2665" i="1"/>
  <c r="E2664" i="1"/>
  <c r="E2663" i="1"/>
  <c r="E2662" i="1"/>
  <c r="E2661" i="1"/>
  <c r="E2660" i="1"/>
  <c r="E2659" i="1"/>
  <c r="E2658" i="1"/>
  <c r="E2657" i="1"/>
  <c r="E2656" i="1"/>
  <c r="E2655" i="1"/>
  <c r="E2654" i="1"/>
  <c r="E2653" i="1"/>
  <c r="E2652" i="1"/>
  <c r="E2651" i="1"/>
  <c r="E2650" i="1"/>
  <c r="E2649" i="1"/>
  <c r="E2648" i="1"/>
  <c r="E2647" i="1"/>
  <c r="E2646" i="1"/>
  <c r="E2645" i="1"/>
  <c r="E2644" i="1"/>
  <c r="E2643" i="1"/>
  <c r="E2642" i="1"/>
  <c r="E2641" i="1"/>
  <c r="E2640" i="1"/>
  <c r="E2639" i="1"/>
  <c r="E2638" i="1"/>
  <c r="E2637" i="1"/>
  <c r="E2636" i="1"/>
  <c r="E2635" i="1"/>
  <c r="E2634" i="1"/>
  <c r="E2633" i="1"/>
  <c r="E2632" i="1"/>
  <c r="E2631" i="1"/>
  <c r="E2630" i="1"/>
  <c r="E2629" i="1"/>
  <c r="E2628" i="1"/>
  <c r="E2627" i="1"/>
  <c r="E2626" i="1"/>
  <c r="E2625" i="1"/>
  <c r="E2624" i="1"/>
  <c r="E2623" i="1"/>
  <c r="E2622" i="1"/>
  <c r="E2621" i="1"/>
  <c r="E2620" i="1"/>
  <c r="E2619" i="1"/>
  <c r="E2618" i="1"/>
  <c r="E2617" i="1"/>
  <c r="E2616" i="1"/>
  <c r="E2615" i="1"/>
  <c r="E2614" i="1"/>
  <c r="E2613" i="1"/>
  <c r="E2612" i="1"/>
  <c r="E2611" i="1"/>
  <c r="E2610" i="1"/>
  <c r="E2609" i="1"/>
  <c r="E2608" i="1"/>
  <c r="E2607" i="1"/>
  <c r="E2606" i="1"/>
  <c r="E2605" i="1"/>
  <c r="E2604" i="1"/>
  <c r="E2603" i="1"/>
  <c r="E2602" i="1"/>
  <c r="E2601" i="1"/>
  <c r="E2600" i="1"/>
  <c r="E2599" i="1"/>
  <c r="E2598" i="1"/>
  <c r="E2597" i="1"/>
  <c r="E2596" i="1"/>
  <c r="E2595" i="1"/>
  <c r="E2594" i="1"/>
  <c r="E2593" i="1"/>
  <c r="E2592" i="1"/>
  <c r="E2591" i="1"/>
  <c r="E2590" i="1"/>
  <c r="E2589" i="1"/>
  <c r="E2588" i="1"/>
  <c r="E2587" i="1"/>
  <c r="E2586" i="1"/>
  <c r="E2585" i="1"/>
  <c r="E2584" i="1"/>
  <c r="E2583" i="1"/>
  <c r="E2582" i="1"/>
  <c r="E2581" i="1"/>
  <c r="E2580" i="1"/>
  <c r="E2579" i="1"/>
  <c r="E2578" i="1"/>
  <c r="E2577" i="1"/>
  <c r="E2576" i="1"/>
  <c r="E2575" i="1"/>
  <c r="E2574" i="1"/>
  <c r="E2573" i="1"/>
  <c r="E2572" i="1"/>
  <c r="E2571" i="1"/>
  <c r="E2570" i="1"/>
  <c r="E2569" i="1"/>
  <c r="E2568" i="1"/>
  <c r="E2567" i="1"/>
  <c r="E2566" i="1"/>
  <c r="E2565" i="1"/>
  <c r="E2564" i="1"/>
  <c r="E2563" i="1"/>
  <c r="E2562" i="1"/>
  <c r="E2561" i="1"/>
  <c r="E2560" i="1"/>
  <c r="E2559" i="1"/>
  <c r="E2558" i="1"/>
  <c r="E2557" i="1"/>
  <c r="E2556" i="1"/>
  <c r="E2555" i="1"/>
  <c r="E2554" i="1"/>
  <c r="E2553" i="1"/>
  <c r="E2552" i="1"/>
  <c r="E2551" i="1"/>
  <c r="E2550" i="1"/>
  <c r="E2549" i="1"/>
  <c r="E2548" i="1"/>
  <c r="E2547" i="1"/>
  <c r="E2546" i="1"/>
  <c r="E2545" i="1"/>
  <c r="E2544" i="1"/>
  <c r="E2543" i="1"/>
  <c r="E2542" i="1"/>
  <c r="E2541" i="1"/>
  <c r="E2540" i="1"/>
  <c r="E2539" i="1"/>
  <c r="E2538" i="1"/>
  <c r="E2537" i="1"/>
  <c r="E2536" i="1"/>
  <c r="E2535" i="1"/>
  <c r="E2534" i="1"/>
  <c r="E2533" i="1"/>
  <c r="E2532" i="1"/>
  <c r="E2531" i="1"/>
  <c r="E2530" i="1"/>
  <c r="E2529" i="1"/>
  <c r="E2528" i="1"/>
  <c r="E2527" i="1"/>
  <c r="E2526" i="1"/>
  <c r="E2525" i="1"/>
  <c r="E2524" i="1"/>
  <c r="E2523" i="1"/>
  <c r="E2522" i="1"/>
  <c r="E2521" i="1"/>
  <c r="E2520" i="1"/>
  <c r="E2519" i="1"/>
  <c r="E2518" i="1"/>
  <c r="E2517" i="1"/>
  <c r="E2516" i="1"/>
  <c r="E2515" i="1"/>
  <c r="E2514" i="1"/>
  <c r="E2513" i="1"/>
  <c r="E2512" i="1"/>
  <c r="E2511" i="1"/>
  <c r="E2510" i="1"/>
  <c r="E2509" i="1"/>
  <c r="E2508" i="1"/>
  <c r="E2507" i="1"/>
  <c r="E2506" i="1"/>
  <c r="E2505" i="1"/>
  <c r="E2504" i="1"/>
  <c r="E2503" i="1"/>
  <c r="E2502" i="1"/>
  <c r="E2501" i="1"/>
  <c r="E2500" i="1"/>
  <c r="E2499" i="1"/>
  <c r="E2498" i="1"/>
  <c r="E2497" i="1"/>
  <c r="E2496" i="1"/>
  <c r="E2495" i="1"/>
  <c r="E2494" i="1"/>
  <c r="E2493" i="1"/>
  <c r="E2492" i="1"/>
  <c r="E2491" i="1"/>
  <c r="E2490" i="1"/>
  <c r="E2489" i="1"/>
  <c r="E2488" i="1"/>
  <c r="E2487" i="1"/>
  <c r="E2486" i="1"/>
  <c r="E2485" i="1"/>
  <c r="E2484" i="1"/>
  <c r="E2483" i="1"/>
  <c r="E2482" i="1"/>
  <c r="E2481" i="1"/>
  <c r="E2480" i="1"/>
  <c r="E2479" i="1"/>
  <c r="E2478" i="1"/>
  <c r="E2477" i="1"/>
  <c r="E2476" i="1"/>
  <c r="E2475" i="1"/>
  <c r="E2474" i="1"/>
  <c r="E2473" i="1"/>
  <c r="E2472" i="1"/>
  <c r="E2471" i="1"/>
  <c r="E2470" i="1"/>
  <c r="E2469" i="1"/>
  <c r="E2468" i="1"/>
  <c r="E2467" i="1"/>
  <c r="E2466" i="1"/>
  <c r="E2465" i="1"/>
  <c r="E2464" i="1"/>
  <c r="E2463" i="1"/>
  <c r="E2462" i="1"/>
  <c r="E2461" i="1"/>
  <c r="E2460" i="1"/>
  <c r="E2459" i="1"/>
  <c r="E2458" i="1"/>
  <c r="E2457" i="1"/>
  <c r="E2456" i="1"/>
  <c r="E2455" i="1"/>
  <c r="E2454" i="1"/>
  <c r="E2453" i="1"/>
  <c r="E2452" i="1"/>
  <c r="E2451" i="1"/>
  <c r="E2450" i="1"/>
  <c r="E2449" i="1"/>
  <c r="E2448" i="1"/>
  <c r="E2447" i="1"/>
  <c r="E2446" i="1"/>
  <c r="E2445" i="1"/>
  <c r="E2444" i="1"/>
  <c r="E2443" i="1"/>
  <c r="E2442" i="1"/>
  <c r="E2441" i="1"/>
  <c r="E2440" i="1"/>
  <c r="E2439" i="1"/>
  <c r="E2438" i="1"/>
  <c r="E2437" i="1"/>
  <c r="E2436" i="1"/>
  <c r="E2435" i="1"/>
  <c r="E2434" i="1"/>
  <c r="E2433" i="1"/>
  <c r="E2432" i="1"/>
  <c r="E2431" i="1"/>
  <c r="E2430" i="1"/>
  <c r="E2429" i="1"/>
  <c r="E2428" i="1"/>
  <c r="E2427" i="1"/>
  <c r="E2426" i="1"/>
  <c r="E2425" i="1"/>
  <c r="E2424" i="1"/>
  <c r="E2423" i="1"/>
  <c r="E2422" i="1"/>
  <c r="E2421" i="1"/>
  <c r="E2420" i="1"/>
  <c r="E2419" i="1"/>
  <c r="E2418" i="1"/>
  <c r="E2417" i="1"/>
  <c r="E2416" i="1"/>
  <c r="E2415" i="1"/>
  <c r="E2414" i="1"/>
  <c r="E2413" i="1"/>
  <c r="E2412" i="1"/>
  <c r="E2411" i="1"/>
  <c r="E2410" i="1"/>
  <c r="E2409" i="1"/>
  <c r="E2408" i="1"/>
  <c r="E2407" i="1"/>
  <c r="E2406" i="1"/>
  <c r="E2405" i="1"/>
  <c r="E2404" i="1"/>
  <c r="E2403" i="1"/>
  <c r="E2402" i="1"/>
  <c r="E2401" i="1"/>
  <c r="E2400" i="1"/>
  <c r="E2399" i="1"/>
  <c r="E2398" i="1"/>
  <c r="E2397" i="1"/>
  <c r="E2396" i="1"/>
  <c r="E2395" i="1"/>
  <c r="E2394" i="1"/>
  <c r="E2393" i="1"/>
  <c r="E2392" i="1"/>
  <c r="E2391" i="1"/>
  <c r="E2390" i="1"/>
  <c r="E2389" i="1"/>
  <c r="E2388" i="1"/>
  <c r="E2387" i="1"/>
  <c r="E2386" i="1"/>
  <c r="E2385" i="1"/>
  <c r="E2384" i="1"/>
  <c r="E2383" i="1"/>
  <c r="E2382" i="1"/>
  <c r="E2381" i="1"/>
  <c r="E2380" i="1"/>
  <c r="E2379" i="1"/>
  <c r="E2378" i="1"/>
  <c r="E2377" i="1"/>
  <c r="E2376" i="1"/>
  <c r="E2375" i="1"/>
  <c r="E2374" i="1"/>
  <c r="E2373" i="1"/>
  <c r="E2372" i="1"/>
  <c r="E2371" i="1"/>
  <c r="E2370" i="1"/>
  <c r="E2369" i="1"/>
  <c r="E2368" i="1"/>
  <c r="E2367" i="1"/>
  <c r="E2366" i="1"/>
  <c r="E2365" i="1"/>
  <c r="E2364" i="1"/>
  <c r="E2363" i="1"/>
  <c r="E2362" i="1"/>
  <c r="E2361" i="1"/>
  <c r="E2360" i="1"/>
  <c r="E2359" i="1"/>
  <c r="E2358" i="1"/>
  <c r="E2357" i="1"/>
  <c r="E2356" i="1"/>
  <c r="E2355" i="1"/>
  <c r="E2354" i="1"/>
  <c r="E2353" i="1"/>
  <c r="E2352" i="1"/>
  <c r="E2351" i="1"/>
  <c r="E2350" i="1"/>
  <c r="E2349" i="1"/>
  <c r="E2348" i="1"/>
  <c r="E2347" i="1"/>
  <c r="E2346" i="1"/>
  <c r="E2345" i="1"/>
  <c r="E2344" i="1"/>
  <c r="E2343" i="1"/>
  <c r="E2342" i="1"/>
  <c r="E2341" i="1"/>
  <c r="E2340" i="1"/>
  <c r="E2339" i="1"/>
  <c r="E2338" i="1"/>
  <c r="E2337" i="1"/>
  <c r="E2336" i="1"/>
  <c r="E2335" i="1"/>
  <c r="E2334" i="1"/>
  <c r="E2333" i="1"/>
  <c r="E2332" i="1"/>
  <c r="E2331" i="1"/>
  <c r="E2330" i="1"/>
  <c r="E2329" i="1"/>
  <c r="E2328" i="1"/>
  <c r="E2327" i="1"/>
  <c r="E2326" i="1"/>
  <c r="E2325" i="1"/>
  <c r="E2324" i="1"/>
  <c r="E2323" i="1"/>
  <c r="E2322" i="1"/>
  <c r="E2321" i="1"/>
  <c r="E2320" i="1"/>
  <c r="E2319" i="1"/>
  <c r="E2318" i="1"/>
  <c r="E2317" i="1"/>
  <c r="E2316" i="1"/>
  <c r="E2315" i="1"/>
  <c r="E2314" i="1"/>
  <c r="E2313" i="1"/>
  <c r="E2312" i="1"/>
  <c r="E2311" i="1"/>
  <c r="E2310" i="1"/>
  <c r="E2309" i="1"/>
  <c r="E2308" i="1"/>
  <c r="E2307" i="1"/>
  <c r="E2306" i="1"/>
  <c r="E2305" i="1"/>
  <c r="E2304" i="1"/>
  <c r="E2303" i="1"/>
  <c r="E2302" i="1"/>
  <c r="E2301" i="1"/>
  <c r="E2300" i="1"/>
  <c r="E2299" i="1"/>
  <c r="E2298" i="1"/>
  <c r="E2297" i="1"/>
  <c r="E2296" i="1"/>
  <c r="E2295" i="1"/>
  <c r="E2294" i="1"/>
  <c r="E2293" i="1"/>
  <c r="E2292" i="1"/>
  <c r="E2291" i="1"/>
  <c r="E2290" i="1"/>
  <c r="E2289" i="1"/>
  <c r="E2288" i="1"/>
  <c r="E2287" i="1"/>
  <c r="E2286" i="1"/>
  <c r="E2285" i="1"/>
  <c r="E2284" i="1"/>
  <c r="E2283" i="1"/>
  <c r="E2282" i="1"/>
  <c r="E2281" i="1"/>
  <c r="E2280" i="1"/>
  <c r="E2279" i="1"/>
  <c r="E2278" i="1"/>
  <c r="E2277" i="1"/>
  <c r="E2276" i="1"/>
  <c r="E2275" i="1"/>
  <c r="E2274" i="1"/>
  <c r="E2273" i="1"/>
  <c r="E2272" i="1"/>
  <c r="E2271" i="1"/>
  <c r="E2270" i="1"/>
  <c r="E2269" i="1"/>
  <c r="E2268" i="1"/>
  <c r="E2267" i="1"/>
  <c r="E2266" i="1"/>
  <c r="E2265" i="1"/>
  <c r="E2264" i="1"/>
  <c r="E2263" i="1"/>
  <c r="E2262" i="1"/>
  <c r="E2261" i="1"/>
  <c r="E2260" i="1"/>
  <c r="E2259" i="1"/>
  <c r="E2258" i="1"/>
  <c r="E2257" i="1"/>
  <c r="E2256" i="1"/>
  <c r="E2255" i="1"/>
  <c r="E2254" i="1"/>
  <c r="E2253" i="1"/>
  <c r="E2252" i="1"/>
  <c r="E2251" i="1"/>
  <c r="E2250" i="1"/>
  <c r="E2249" i="1"/>
  <c r="E2248" i="1"/>
  <c r="E2247" i="1"/>
  <c r="E2246" i="1"/>
  <c r="E2245" i="1"/>
  <c r="E2244" i="1"/>
  <c r="E2243" i="1"/>
  <c r="E2242" i="1"/>
  <c r="E2241" i="1"/>
  <c r="E2240" i="1"/>
  <c r="E2239" i="1"/>
  <c r="E2238" i="1"/>
  <c r="E2237" i="1"/>
  <c r="E2236" i="1"/>
  <c r="E2235" i="1"/>
  <c r="E2234" i="1"/>
  <c r="E2233" i="1"/>
  <c r="E2232" i="1"/>
  <c r="E2231" i="1"/>
  <c r="E2230" i="1"/>
  <c r="E2229" i="1"/>
  <c r="E2228" i="1"/>
  <c r="E2227" i="1"/>
  <c r="E2226" i="1"/>
  <c r="E2225" i="1"/>
  <c r="E2224" i="1"/>
  <c r="E2223" i="1"/>
  <c r="E2222" i="1"/>
  <c r="E2221" i="1"/>
  <c r="E2220" i="1"/>
  <c r="E2219" i="1"/>
  <c r="E2218" i="1"/>
  <c r="E2217" i="1"/>
  <c r="E2216" i="1"/>
  <c r="E2215" i="1"/>
  <c r="E2214" i="1"/>
  <c r="E2213" i="1"/>
  <c r="E2212" i="1"/>
  <c r="E2211" i="1"/>
  <c r="E2210" i="1"/>
  <c r="E2209" i="1"/>
  <c r="E2208" i="1"/>
  <c r="E2207" i="1"/>
  <c r="E2206" i="1"/>
  <c r="E2205" i="1"/>
  <c r="E2204" i="1"/>
  <c r="E2203" i="1"/>
  <c r="E2202" i="1"/>
  <c r="E2201" i="1"/>
  <c r="E2200" i="1"/>
  <c r="E2199" i="1"/>
  <c r="E2198" i="1"/>
  <c r="E2197" i="1"/>
  <c r="E2196" i="1"/>
  <c r="E2195" i="1"/>
  <c r="E2194" i="1"/>
  <c r="E2193" i="1"/>
  <c r="E2192" i="1"/>
  <c r="E2191" i="1"/>
  <c r="E2190" i="1"/>
  <c r="E2189" i="1"/>
  <c r="E2188" i="1"/>
  <c r="E2187" i="1"/>
  <c r="E2186" i="1"/>
  <c r="E2185" i="1"/>
  <c r="E2184" i="1"/>
  <c r="E2183" i="1"/>
  <c r="E2182" i="1"/>
  <c r="E2181" i="1"/>
  <c r="E2180" i="1"/>
  <c r="E2179" i="1"/>
  <c r="E2178" i="1"/>
  <c r="E2177" i="1"/>
  <c r="E2176" i="1"/>
  <c r="E2175" i="1"/>
  <c r="E2174" i="1"/>
  <c r="E2173" i="1"/>
  <c r="E2172" i="1"/>
  <c r="E2171" i="1"/>
  <c r="E2170" i="1"/>
  <c r="E2169" i="1"/>
  <c r="E2168" i="1"/>
  <c r="E2167" i="1"/>
  <c r="E2166" i="1"/>
  <c r="E2165" i="1"/>
  <c r="E2164" i="1"/>
  <c r="E2163" i="1"/>
  <c r="E2162" i="1"/>
  <c r="E2161" i="1"/>
  <c r="E2160" i="1"/>
  <c r="E2159" i="1"/>
  <c r="E2158" i="1"/>
  <c r="E2157" i="1"/>
  <c r="E2156" i="1"/>
  <c r="E2155" i="1"/>
  <c r="E2154" i="1"/>
  <c r="E2153" i="1"/>
  <c r="E2152" i="1"/>
  <c r="E2151" i="1"/>
  <c r="E2150" i="1"/>
  <c r="E2149" i="1"/>
  <c r="E2148" i="1"/>
  <c r="E2147" i="1"/>
  <c r="E2146" i="1"/>
  <c r="E2145" i="1"/>
  <c r="E2144" i="1"/>
  <c r="E2143" i="1"/>
  <c r="E2142" i="1"/>
  <c r="E2141" i="1"/>
  <c r="E2140" i="1"/>
  <c r="E2139" i="1"/>
  <c r="E2138" i="1"/>
  <c r="E2137" i="1"/>
  <c r="E2136" i="1"/>
  <c r="E2135" i="1"/>
  <c r="E2134" i="1"/>
  <c r="E2133" i="1"/>
  <c r="E2132" i="1"/>
  <c r="E2131" i="1"/>
  <c r="E2130" i="1"/>
  <c r="E2129" i="1"/>
  <c r="E2128" i="1"/>
  <c r="E2127" i="1"/>
  <c r="E2126" i="1"/>
  <c r="E2125" i="1"/>
  <c r="E2124" i="1"/>
  <c r="E2123" i="1"/>
  <c r="E2122" i="1"/>
  <c r="E2121" i="1"/>
  <c r="E2120" i="1"/>
  <c r="E2119" i="1"/>
  <c r="E2118" i="1"/>
  <c r="E2117" i="1"/>
  <c r="E2116" i="1"/>
  <c r="E2115" i="1"/>
  <c r="E2114" i="1"/>
  <c r="E2113" i="1"/>
  <c r="E2112" i="1"/>
  <c r="E2111" i="1"/>
  <c r="E2110" i="1"/>
  <c r="E2109" i="1"/>
  <c r="E2108" i="1"/>
  <c r="E2107" i="1"/>
  <c r="E2106" i="1"/>
  <c r="E2105" i="1"/>
  <c r="E2104" i="1"/>
  <c r="E2103" i="1"/>
  <c r="E2102" i="1"/>
  <c r="E2101" i="1"/>
  <c r="E2100" i="1"/>
  <c r="E2099" i="1"/>
  <c r="E2098" i="1"/>
  <c r="E2097" i="1"/>
  <c r="E2096" i="1"/>
  <c r="E2095" i="1"/>
  <c r="E2094" i="1"/>
  <c r="E2093" i="1"/>
  <c r="E2092" i="1"/>
  <c r="E2091" i="1"/>
  <c r="E2090" i="1"/>
  <c r="E2089" i="1"/>
  <c r="E2088" i="1"/>
  <c r="E2087" i="1"/>
  <c r="E2086" i="1"/>
  <c r="E2085" i="1"/>
  <c r="E2084" i="1"/>
  <c r="E2083" i="1"/>
  <c r="E2082" i="1"/>
  <c r="E2081" i="1"/>
  <c r="E2080" i="1"/>
  <c r="E2079" i="1"/>
  <c r="E2078" i="1"/>
  <c r="E2077" i="1"/>
  <c r="E2076" i="1"/>
  <c r="E2075" i="1"/>
  <c r="E2074" i="1"/>
  <c r="E2073" i="1"/>
  <c r="E2072" i="1"/>
  <c r="E2071" i="1"/>
  <c r="E2070" i="1"/>
  <c r="E2069" i="1"/>
  <c r="E2068" i="1"/>
  <c r="E2067" i="1"/>
  <c r="E2066" i="1"/>
  <c r="E2065" i="1"/>
  <c r="E2064" i="1"/>
  <c r="E2063" i="1"/>
  <c r="E2062" i="1"/>
  <c r="E2061" i="1"/>
  <c r="E2060" i="1"/>
  <c r="E2059" i="1"/>
  <c r="E2058" i="1"/>
  <c r="E2057" i="1"/>
  <c r="E2056" i="1"/>
  <c r="E2055" i="1"/>
  <c r="E2054" i="1"/>
  <c r="E2053" i="1"/>
  <c r="E2052" i="1"/>
  <c r="E2051" i="1"/>
  <c r="E2050" i="1"/>
  <c r="E2049" i="1"/>
  <c r="E2048" i="1"/>
  <c r="E2047" i="1"/>
  <c r="E2046" i="1"/>
  <c r="E2045" i="1"/>
  <c r="E2044" i="1"/>
  <c r="E2043" i="1"/>
  <c r="E2042" i="1"/>
  <c r="E2041" i="1"/>
  <c r="E2040" i="1"/>
  <c r="E2039" i="1"/>
  <c r="E2038" i="1"/>
  <c r="E2037" i="1"/>
  <c r="E2036" i="1"/>
  <c r="E2035" i="1"/>
  <c r="E2034" i="1"/>
  <c r="E2033" i="1"/>
  <c r="E2032" i="1"/>
  <c r="E2031" i="1"/>
  <c r="E2030" i="1"/>
  <c r="E2029" i="1"/>
  <c r="E2028" i="1"/>
  <c r="E2027" i="1"/>
  <c r="E2026" i="1"/>
  <c r="E2025" i="1"/>
  <c r="E2024" i="1"/>
  <c r="E2023" i="1"/>
  <c r="E2022" i="1"/>
  <c r="E2021" i="1"/>
  <c r="E2020" i="1"/>
  <c r="E2019" i="1"/>
  <c r="E2018" i="1"/>
  <c r="E2017" i="1"/>
  <c r="E2016" i="1"/>
  <c r="E2015" i="1"/>
  <c r="E2014" i="1"/>
  <c r="E2013" i="1"/>
  <c r="E2012" i="1"/>
  <c r="E2011" i="1"/>
  <c r="E2010" i="1"/>
  <c r="E2009" i="1"/>
  <c r="E2008" i="1"/>
  <c r="E2007" i="1"/>
  <c r="E2006" i="1"/>
  <c r="E2005" i="1"/>
  <c r="E2004" i="1"/>
  <c r="E2003" i="1"/>
  <c r="E2002" i="1"/>
  <c r="E2001" i="1"/>
  <c r="E2000" i="1"/>
  <c r="E1999" i="1"/>
  <c r="E1998" i="1"/>
  <c r="E1997" i="1"/>
  <c r="E1996" i="1"/>
  <c r="E1995" i="1"/>
  <c r="E1994" i="1"/>
  <c r="E1993" i="1"/>
  <c r="E1992" i="1"/>
  <c r="E1991" i="1"/>
  <c r="E1990" i="1"/>
  <c r="E1989" i="1"/>
  <c r="E1988" i="1"/>
  <c r="E1987" i="1"/>
  <c r="E1986" i="1"/>
  <c r="E1985" i="1"/>
  <c r="E1984" i="1"/>
  <c r="E1983" i="1"/>
  <c r="E1982" i="1"/>
  <c r="E1981" i="1"/>
  <c r="E1980" i="1"/>
  <c r="E1979" i="1"/>
  <c r="E1978" i="1"/>
  <c r="E1977" i="1"/>
  <c r="E1976" i="1"/>
  <c r="E1975" i="1"/>
  <c r="E1974" i="1"/>
  <c r="E1973" i="1"/>
  <c r="E1972" i="1"/>
  <c r="E1971" i="1"/>
  <c r="E1970" i="1"/>
  <c r="E1969" i="1"/>
  <c r="E1968" i="1"/>
  <c r="E1967" i="1"/>
  <c r="E1966" i="1"/>
  <c r="E1965" i="1"/>
  <c r="E1964" i="1"/>
  <c r="E1963" i="1"/>
  <c r="E1962" i="1"/>
  <c r="E1961" i="1"/>
  <c r="E1960" i="1"/>
  <c r="E1959" i="1"/>
  <c r="E1958" i="1"/>
  <c r="E1957" i="1"/>
  <c r="E1956" i="1"/>
  <c r="E1955" i="1"/>
  <c r="E1954" i="1"/>
  <c r="E1953" i="1"/>
  <c r="E1952" i="1"/>
  <c r="E1951" i="1"/>
  <c r="E1950" i="1"/>
  <c r="E1949" i="1"/>
  <c r="E1948" i="1"/>
  <c r="E1947" i="1"/>
  <c r="E1946" i="1"/>
  <c r="E1945" i="1"/>
  <c r="E1944" i="1"/>
  <c r="E1943" i="1"/>
  <c r="E1942" i="1"/>
  <c r="E1941" i="1"/>
  <c r="E1940" i="1"/>
  <c r="E1939" i="1"/>
  <c r="E1938" i="1"/>
  <c r="E1937" i="1"/>
  <c r="E1936" i="1"/>
  <c r="E1935" i="1"/>
  <c r="E1934" i="1"/>
  <c r="E1933" i="1"/>
  <c r="E1932" i="1"/>
  <c r="E1931" i="1"/>
  <c r="E1930" i="1"/>
  <c r="E1929" i="1"/>
  <c r="E1928" i="1"/>
  <c r="E1927" i="1"/>
  <c r="E1926" i="1"/>
  <c r="E1925" i="1"/>
  <c r="E1924" i="1"/>
  <c r="E1923" i="1"/>
  <c r="E1922" i="1"/>
  <c r="E1921" i="1"/>
  <c r="E1920" i="1"/>
  <c r="E1919" i="1"/>
  <c r="E1918" i="1"/>
  <c r="E1917" i="1"/>
  <c r="E1916" i="1"/>
  <c r="E1915" i="1"/>
  <c r="E1914" i="1"/>
  <c r="E1913" i="1"/>
  <c r="E1912" i="1"/>
  <c r="E1911" i="1"/>
  <c r="E1910" i="1"/>
  <c r="E1909" i="1"/>
  <c r="E1908" i="1"/>
  <c r="E1907" i="1"/>
  <c r="E1906" i="1"/>
  <c r="E1905" i="1"/>
  <c r="E1904" i="1"/>
  <c r="E1903" i="1"/>
  <c r="E1902" i="1"/>
  <c r="E1901" i="1"/>
  <c r="E1900" i="1"/>
  <c r="E1899" i="1"/>
  <c r="E1898" i="1"/>
  <c r="E1897" i="1"/>
  <c r="E1896" i="1"/>
  <c r="E1895" i="1"/>
  <c r="E1894" i="1"/>
  <c r="E1893" i="1"/>
  <c r="E1892" i="1"/>
  <c r="E1891" i="1"/>
  <c r="E1890" i="1"/>
  <c r="E1889" i="1"/>
  <c r="E1888" i="1"/>
  <c r="E1887" i="1"/>
  <c r="E1886" i="1"/>
  <c r="E1885" i="1"/>
  <c r="E1884" i="1"/>
  <c r="E1883" i="1"/>
  <c r="E1882" i="1"/>
  <c r="E1881" i="1"/>
  <c r="E1880" i="1"/>
  <c r="E1879" i="1"/>
  <c r="E1878" i="1"/>
  <c r="E1877" i="1"/>
  <c r="E1876" i="1"/>
  <c r="E1875" i="1"/>
  <c r="E1874" i="1"/>
  <c r="E1873" i="1"/>
  <c r="E1872" i="1"/>
  <c r="E1871" i="1"/>
  <c r="E1870" i="1"/>
  <c r="E1869" i="1"/>
  <c r="E1868" i="1"/>
  <c r="E1867" i="1"/>
  <c r="E1866" i="1"/>
  <c r="E1865" i="1"/>
  <c r="E1864" i="1"/>
  <c r="E1863" i="1"/>
  <c r="E1862" i="1"/>
  <c r="E1861" i="1"/>
  <c r="E1860" i="1"/>
  <c r="E1859" i="1"/>
  <c r="E1858" i="1"/>
  <c r="E1857" i="1"/>
  <c r="E1856" i="1"/>
  <c r="E1855" i="1"/>
  <c r="E1854" i="1"/>
  <c r="E1853" i="1"/>
  <c r="E1852" i="1"/>
  <c r="E1851" i="1"/>
  <c r="E1850" i="1"/>
  <c r="E1849" i="1"/>
  <c r="E1848" i="1"/>
  <c r="E1847" i="1"/>
  <c r="E1846" i="1"/>
  <c r="E1845" i="1"/>
  <c r="E1844" i="1"/>
  <c r="E1843" i="1"/>
  <c r="E1842" i="1"/>
  <c r="E1841" i="1"/>
  <c r="E1840" i="1"/>
  <c r="E1839" i="1"/>
  <c r="E1838" i="1"/>
  <c r="E1837" i="1"/>
  <c r="E1836" i="1"/>
  <c r="E1835" i="1"/>
  <c r="E1834" i="1"/>
  <c r="E1833" i="1"/>
  <c r="E1832" i="1"/>
  <c r="E1831" i="1"/>
  <c r="E1830" i="1"/>
  <c r="E1829" i="1"/>
  <c r="E1828" i="1"/>
  <c r="E1827" i="1"/>
  <c r="E1826" i="1"/>
  <c r="E1825" i="1"/>
  <c r="E1824" i="1"/>
  <c r="E1823" i="1"/>
  <c r="E1822" i="1"/>
  <c r="E1821" i="1"/>
  <c r="E1820" i="1"/>
  <c r="E1819" i="1"/>
  <c r="E1818" i="1"/>
  <c r="E1817" i="1"/>
  <c r="E1816" i="1"/>
  <c r="E1815" i="1"/>
  <c r="E1814" i="1"/>
  <c r="E1813" i="1"/>
  <c r="E1812" i="1"/>
  <c r="E1811" i="1"/>
  <c r="E1810" i="1"/>
  <c r="E1809" i="1"/>
  <c r="E1808" i="1"/>
  <c r="E1807" i="1"/>
  <c r="E1806" i="1"/>
  <c r="E1805" i="1"/>
  <c r="E1804" i="1"/>
  <c r="E1803" i="1"/>
  <c r="E1802" i="1"/>
  <c r="E1801" i="1"/>
  <c r="E1800" i="1"/>
  <c r="E1799" i="1"/>
  <c r="E1798" i="1"/>
  <c r="E1797" i="1"/>
  <c r="E1796" i="1"/>
  <c r="E1795" i="1"/>
  <c r="E1794" i="1"/>
  <c r="E1793" i="1"/>
  <c r="E1792" i="1"/>
  <c r="E1791" i="1"/>
  <c r="E1790" i="1"/>
  <c r="E1789" i="1"/>
  <c r="E1788" i="1"/>
  <c r="E1787" i="1"/>
  <c r="E1786" i="1"/>
  <c r="E1785" i="1"/>
  <c r="E1784" i="1"/>
  <c r="E1783" i="1"/>
  <c r="E1782" i="1"/>
  <c r="E1781" i="1"/>
  <c r="E1780" i="1"/>
  <c r="E1779" i="1"/>
  <c r="E1778" i="1"/>
  <c r="E1777" i="1"/>
  <c r="E1776" i="1"/>
  <c r="E1775" i="1"/>
  <c r="E1774" i="1"/>
  <c r="E1773" i="1"/>
  <c r="E1772" i="1"/>
  <c r="E1771" i="1"/>
  <c r="E1770" i="1"/>
  <c r="E1769" i="1"/>
  <c r="E1768" i="1"/>
  <c r="E1767" i="1"/>
  <c r="E1766" i="1"/>
  <c r="E1765" i="1"/>
  <c r="E1764" i="1"/>
  <c r="E1763" i="1"/>
  <c r="E1762" i="1"/>
  <c r="E1761" i="1"/>
  <c r="E1760" i="1"/>
  <c r="E1759" i="1"/>
  <c r="E1758" i="1"/>
  <c r="E1757" i="1"/>
  <c r="E1756" i="1"/>
  <c r="E1755" i="1"/>
  <c r="E1754" i="1"/>
  <c r="E1753" i="1"/>
  <c r="E1752" i="1"/>
  <c r="E1751" i="1"/>
  <c r="E1750" i="1"/>
  <c r="E1749" i="1"/>
  <c r="E1748" i="1"/>
  <c r="E1747" i="1"/>
  <c r="E1746" i="1"/>
  <c r="E1745" i="1"/>
  <c r="E1744" i="1"/>
  <c r="E1743" i="1"/>
  <c r="E1742" i="1"/>
  <c r="E1741" i="1"/>
  <c r="E1740" i="1"/>
  <c r="E1739" i="1"/>
  <c r="E1738" i="1"/>
  <c r="E1737" i="1"/>
  <c r="E1736" i="1"/>
  <c r="E1735" i="1"/>
  <c r="E1734" i="1"/>
  <c r="E1733" i="1"/>
  <c r="E1732" i="1"/>
  <c r="E1731" i="1"/>
  <c r="E1730" i="1"/>
  <c r="E1729" i="1"/>
  <c r="E1728" i="1"/>
  <c r="E1727" i="1"/>
  <c r="E1726" i="1"/>
  <c r="E1725" i="1"/>
  <c r="E1724" i="1"/>
  <c r="E1723" i="1"/>
  <c r="E1722" i="1"/>
  <c r="E1721" i="1"/>
  <c r="E1720" i="1"/>
  <c r="E1719" i="1"/>
  <c r="E1718" i="1"/>
  <c r="E1717" i="1"/>
  <c r="E1716" i="1"/>
  <c r="E1715" i="1"/>
  <c r="E1714" i="1"/>
  <c r="E1713" i="1"/>
  <c r="E1712" i="1"/>
  <c r="E1711" i="1"/>
  <c r="E1710" i="1"/>
  <c r="E1709" i="1"/>
  <c r="E1708" i="1"/>
  <c r="E1707" i="1"/>
  <c r="E1706" i="1"/>
  <c r="E1705" i="1"/>
  <c r="E1704" i="1"/>
  <c r="E1703" i="1"/>
  <c r="E1702" i="1"/>
  <c r="E1701" i="1"/>
  <c r="E1700" i="1"/>
  <c r="E1699" i="1"/>
  <c r="E1698" i="1"/>
  <c r="E1697" i="1"/>
  <c r="E1696" i="1"/>
  <c r="E1695" i="1"/>
  <c r="E1694" i="1"/>
  <c r="E1693" i="1"/>
  <c r="E1692" i="1"/>
  <c r="E1691" i="1"/>
  <c r="E1690" i="1"/>
  <c r="E1689" i="1"/>
  <c r="E1688" i="1"/>
  <c r="E1687" i="1"/>
  <c r="E1686" i="1"/>
  <c r="E1685" i="1"/>
  <c r="E1684" i="1"/>
  <c r="E1683" i="1"/>
  <c r="E1682" i="1"/>
  <c r="E1681" i="1"/>
  <c r="E1680" i="1"/>
  <c r="E1679" i="1"/>
  <c r="E1678" i="1"/>
  <c r="E1677" i="1"/>
  <c r="E1676" i="1"/>
  <c r="E1675" i="1"/>
  <c r="E1674" i="1"/>
  <c r="E1673" i="1"/>
  <c r="E1672" i="1"/>
  <c r="E1671" i="1"/>
  <c r="E1670" i="1"/>
  <c r="E1669" i="1"/>
  <c r="E1668" i="1"/>
  <c r="E1667" i="1"/>
  <c r="E1666" i="1"/>
  <c r="E1665" i="1"/>
  <c r="E1664" i="1"/>
  <c r="E1663" i="1"/>
  <c r="E1662" i="1"/>
  <c r="E1661" i="1"/>
  <c r="E1660" i="1"/>
  <c r="E1659" i="1"/>
  <c r="E1658" i="1"/>
  <c r="E1657" i="1"/>
  <c r="E1656" i="1"/>
  <c r="E1655" i="1"/>
  <c r="E1654" i="1"/>
  <c r="E1653" i="1"/>
  <c r="E1652" i="1"/>
  <c r="E1651" i="1"/>
  <c r="E1650" i="1"/>
  <c r="E1649" i="1"/>
  <c r="E1648" i="1"/>
  <c r="E1647" i="1"/>
  <c r="E1646" i="1"/>
  <c r="E1645" i="1"/>
  <c r="E1644" i="1"/>
  <c r="E1643" i="1"/>
  <c r="E1642" i="1"/>
  <c r="E1641" i="1"/>
  <c r="E1640" i="1"/>
  <c r="E1639" i="1"/>
  <c r="E1638" i="1"/>
  <c r="E1637" i="1"/>
  <c r="E1636" i="1"/>
  <c r="E1635" i="1"/>
  <c r="E1634" i="1"/>
  <c r="E1633" i="1"/>
  <c r="E1632" i="1"/>
  <c r="E1631" i="1"/>
  <c r="E1630" i="1"/>
  <c r="E1629" i="1"/>
  <c r="E1628" i="1"/>
  <c r="E1627" i="1"/>
  <c r="E1626" i="1"/>
  <c r="E1625" i="1"/>
  <c r="E1624" i="1"/>
  <c r="E1623" i="1"/>
  <c r="E1622" i="1"/>
  <c r="E1621" i="1"/>
  <c r="E1620" i="1"/>
  <c r="E1619" i="1"/>
  <c r="E1618" i="1"/>
  <c r="E1617" i="1"/>
  <c r="E1616" i="1"/>
  <c r="E1615" i="1"/>
  <c r="E1614" i="1"/>
  <c r="E1613" i="1"/>
  <c r="E1612" i="1"/>
  <c r="E1611" i="1"/>
  <c r="E1610" i="1"/>
  <c r="E1609" i="1"/>
  <c r="E1608" i="1"/>
  <c r="E1607" i="1"/>
  <c r="E1606" i="1"/>
  <c r="E1605" i="1"/>
  <c r="E1604" i="1"/>
  <c r="E1603" i="1"/>
  <c r="E1602" i="1"/>
  <c r="E1601" i="1"/>
  <c r="E1600" i="1"/>
  <c r="E1599" i="1"/>
  <c r="E1598" i="1"/>
  <c r="E1597" i="1"/>
  <c r="E1596" i="1"/>
  <c r="E1595" i="1"/>
  <c r="E1594" i="1"/>
  <c r="E1593" i="1"/>
  <c r="E1592" i="1"/>
  <c r="E1591" i="1"/>
  <c r="E1590" i="1"/>
  <c r="E1589" i="1"/>
  <c r="E1588" i="1"/>
  <c r="E1587" i="1"/>
  <c r="E1586" i="1"/>
  <c r="E1585" i="1"/>
  <c r="E1584" i="1"/>
  <c r="E1583" i="1"/>
  <c r="E1582" i="1"/>
  <c r="E1581" i="1"/>
  <c r="E1580" i="1"/>
  <c r="E1579" i="1"/>
  <c r="E1578" i="1"/>
  <c r="E1577" i="1"/>
  <c r="E1576" i="1"/>
  <c r="E1575" i="1"/>
  <c r="E1574" i="1"/>
  <c r="E1573" i="1"/>
  <c r="E1572" i="1"/>
  <c r="E1571" i="1"/>
  <c r="E1570" i="1"/>
  <c r="E1569" i="1"/>
  <c r="E1568" i="1"/>
  <c r="E1567" i="1"/>
  <c r="E1566" i="1"/>
  <c r="E1565" i="1"/>
  <c r="E1564" i="1"/>
  <c r="E1563" i="1"/>
  <c r="E1562" i="1"/>
  <c r="E1561" i="1"/>
  <c r="E1560" i="1"/>
  <c r="E1559" i="1"/>
  <c r="E1558" i="1"/>
  <c r="E1557" i="1"/>
  <c r="E1556" i="1"/>
  <c r="E1555" i="1"/>
  <c r="E1554" i="1"/>
  <c r="E1553" i="1"/>
  <c r="E1552" i="1"/>
  <c r="E1551" i="1"/>
  <c r="E1550" i="1"/>
  <c r="E1549" i="1"/>
  <c r="E1548" i="1"/>
  <c r="E1547" i="1"/>
  <c r="E1546" i="1"/>
  <c r="E1545" i="1"/>
  <c r="E1544" i="1"/>
  <c r="E1543" i="1"/>
  <c r="E1542" i="1"/>
  <c r="E1541" i="1"/>
  <c r="E1540" i="1"/>
  <c r="E1539" i="1"/>
  <c r="E1538" i="1"/>
  <c r="E1537" i="1"/>
  <c r="E1536" i="1"/>
  <c r="E1535" i="1"/>
  <c r="E1534" i="1"/>
  <c r="E1533" i="1"/>
  <c r="E1532" i="1"/>
  <c r="E1531" i="1"/>
  <c r="E1530" i="1"/>
  <c r="E1529" i="1"/>
  <c r="E1528" i="1"/>
  <c r="E1527" i="1"/>
  <c r="E1526" i="1"/>
  <c r="E1525" i="1"/>
  <c r="E1524" i="1"/>
  <c r="E1523" i="1"/>
  <c r="E1522" i="1"/>
  <c r="E1521" i="1"/>
  <c r="E1520" i="1"/>
  <c r="E1519" i="1"/>
  <c r="E1518" i="1"/>
  <c r="E1517" i="1"/>
  <c r="E1516" i="1"/>
  <c r="E1515" i="1"/>
  <c r="E1514" i="1"/>
  <c r="E1513" i="1"/>
  <c r="E1512" i="1"/>
  <c r="E1511" i="1"/>
  <c r="E1510" i="1"/>
  <c r="E1509" i="1"/>
  <c r="E1508" i="1"/>
  <c r="E1507" i="1"/>
  <c r="E1506" i="1"/>
  <c r="E1505" i="1"/>
  <c r="E1504" i="1"/>
  <c r="E1503" i="1"/>
  <c r="E1502" i="1"/>
  <c r="E1501" i="1"/>
  <c r="E1500" i="1"/>
  <c r="E1499" i="1"/>
  <c r="E1498" i="1"/>
  <c r="E1497" i="1"/>
  <c r="E1496" i="1"/>
  <c r="E1495" i="1"/>
  <c r="E1494" i="1"/>
  <c r="E1493" i="1"/>
  <c r="E1492" i="1"/>
  <c r="E1491" i="1"/>
  <c r="E1490" i="1"/>
  <c r="E1489" i="1"/>
  <c r="E1488" i="1"/>
  <c r="E1487" i="1"/>
  <c r="E1486" i="1"/>
  <c r="E1485" i="1"/>
  <c r="E1484" i="1"/>
  <c r="E1483" i="1"/>
  <c r="E1482" i="1"/>
  <c r="E1481" i="1"/>
  <c r="E1480" i="1"/>
  <c r="E1479" i="1"/>
  <c r="E1478" i="1"/>
  <c r="E1477" i="1"/>
  <c r="E1476" i="1"/>
  <c r="E1475" i="1"/>
  <c r="E1474" i="1"/>
  <c r="E1473" i="1"/>
  <c r="E1472" i="1"/>
  <c r="E1471" i="1"/>
  <c r="E1470" i="1"/>
  <c r="E1469" i="1"/>
  <c r="E1468" i="1"/>
  <c r="E1467" i="1"/>
  <c r="E1466" i="1"/>
  <c r="E1465" i="1"/>
  <c r="E1464" i="1"/>
  <c r="E1463" i="1"/>
  <c r="E1462" i="1"/>
  <c r="E1461" i="1"/>
  <c r="E1460" i="1"/>
  <c r="E1459" i="1"/>
  <c r="E1458" i="1"/>
  <c r="E1457" i="1"/>
  <c r="E1456" i="1"/>
  <c r="E1455" i="1"/>
  <c r="E1454" i="1"/>
  <c r="E1453" i="1"/>
  <c r="E1452" i="1"/>
  <c r="E1451" i="1"/>
  <c r="E1450" i="1"/>
  <c r="E1449" i="1"/>
  <c r="E1448" i="1"/>
  <c r="E1447" i="1"/>
  <c r="E1446" i="1"/>
  <c r="E1445" i="1"/>
  <c r="E1444" i="1"/>
  <c r="E1443" i="1"/>
  <c r="E1442" i="1"/>
  <c r="E1441" i="1"/>
  <c r="E1440" i="1"/>
  <c r="E1439" i="1"/>
  <c r="E1438" i="1"/>
  <c r="E1437" i="1"/>
  <c r="E1436" i="1"/>
  <c r="E1435" i="1"/>
  <c r="E1434" i="1"/>
  <c r="E1433" i="1"/>
  <c r="E1432" i="1"/>
  <c r="E1431" i="1"/>
  <c r="E1430" i="1"/>
  <c r="E1429" i="1"/>
  <c r="E1428" i="1"/>
  <c r="E1427" i="1"/>
  <c r="E1426" i="1"/>
  <c r="E1425" i="1"/>
  <c r="E1424" i="1"/>
  <c r="E1423" i="1"/>
  <c r="E1422" i="1"/>
  <c r="E1421" i="1"/>
  <c r="E1420" i="1"/>
  <c r="E1419" i="1"/>
  <c r="E1418" i="1"/>
  <c r="E1417" i="1"/>
  <c r="E1416" i="1"/>
  <c r="E1415" i="1"/>
  <c r="E1414" i="1"/>
  <c r="E1413" i="1"/>
  <c r="E1412" i="1"/>
  <c r="E1411" i="1"/>
  <c r="E1410" i="1"/>
  <c r="E1409" i="1"/>
  <c r="E1408" i="1"/>
  <c r="E1407" i="1"/>
  <c r="E1406" i="1"/>
  <c r="E1405" i="1"/>
  <c r="E1404" i="1"/>
  <c r="E1403" i="1"/>
  <c r="E1402" i="1"/>
  <c r="E1401" i="1"/>
  <c r="E1400" i="1"/>
  <c r="E1399" i="1"/>
  <c r="E1398" i="1"/>
  <c r="E1397" i="1"/>
  <c r="E1396" i="1"/>
  <c r="E1395" i="1"/>
  <c r="E1394" i="1"/>
  <c r="E1393" i="1"/>
  <c r="E1392" i="1"/>
  <c r="E1391" i="1"/>
  <c r="E1390" i="1"/>
  <c r="E1389" i="1"/>
  <c r="E1388" i="1"/>
  <c r="E1387" i="1"/>
  <c r="E1386" i="1"/>
  <c r="E1385" i="1"/>
  <c r="E1384" i="1"/>
  <c r="E1383" i="1"/>
  <c r="E1382" i="1"/>
  <c r="E1381" i="1"/>
  <c r="E1380" i="1"/>
  <c r="E1379" i="1"/>
  <c r="E1378" i="1"/>
  <c r="E1377" i="1"/>
  <c r="E1376" i="1"/>
  <c r="E1375" i="1"/>
  <c r="E1374" i="1"/>
  <c r="E1373" i="1"/>
  <c r="E1372" i="1"/>
  <c r="E1371" i="1"/>
  <c r="E1370" i="1"/>
  <c r="E1369" i="1"/>
  <c r="E1368" i="1"/>
  <c r="E1367" i="1"/>
  <c r="E1366" i="1"/>
  <c r="E1365" i="1"/>
  <c r="E1364" i="1"/>
  <c r="E1363" i="1"/>
  <c r="E1362" i="1"/>
  <c r="E1361" i="1"/>
  <c r="E1360" i="1"/>
  <c r="E1359" i="1"/>
  <c r="E1358" i="1"/>
  <c r="E1357" i="1"/>
  <c r="E1356" i="1"/>
  <c r="E1355" i="1"/>
  <c r="E1354" i="1"/>
  <c r="E1353" i="1"/>
  <c r="E1352" i="1"/>
  <c r="E1351" i="1"/>
  <c r="E1350" i="1"/>
  <c r="E1349" i="1"/>
  <c r="E1348" i="1"/>
  <c r="E1347" i="1"/>
  <c r="E1346" i="1"/>
  <c r="E1345" i="1"/>
  <c r="E1344" i="1"/>
  <c r="E1343" i="1"/>
  <c r="E1342" i="1"/>
  <c r="E1341" i="1"/>
  <c r="E1340" i="1"/>
  <c r="E1339" i="1"/>
  <c r="E1338" i="1"/>
  <c r="E1337" i="1"/>
  <c r="E1336" i="1"/>
  <c r="E1335" i="1"/>
  <c r="E1334" i="1"/>
  <c r="E1333" i="1"/>
  <c r="E1332" i="1"/>
  <c r="E1331" i="1"/>
  <c r="E1330" i="1"/>
  <c r="E1329" i="1"/>
  <c r="E1328" i="1"/>
  <c r="E1327" i="1"/>
  <c r="E1326" i="1"/>
  <c r="E1325" i="1"/>
  <c r="E1324" i="1"/>
  <c r="E1323" i="1"/>
  <c r="E1322" i="1"/>
  <c r="E1321" i="1"/>
  <c r="E1320" i="1"/>
  <c r="E1319" i="1"/>
  <c r="E1318" i="1"/>
  <c r="E1317" i="1"/>
  <c r="E1316" i="1"/>
  <c r="E1315" i="1"/>
  <c r="E1314" i="1"/>
  <c r="E1313" i="1"/>
  <c r="E1312" i="1"/>
  <c r="E1311" i="1"/>
  <c r="E1310" i="1"/>
  <c r="E1309" i="1"/>
  <c r="E1308" i="1"/>
  <c r="E1307" i="1"/>
  <c r="E1306" i="1"/>
  <c r="E1305" i="1"/>
  <c r="E1304" i="1"/>
  <c r="E1303" i="1"/>
  <c r="E1302" i="1"/>
  <c r="E1301" i="1"/>
  <c r="E1300" i="1"/>
  <c r="E1299" i="1"/>
  <c r="E1298" i="1"/>
  <c r="E1297" i="1"/>
  <c r="E1296" i="1"/>
  <c r="E1295" i="1"/>
  <c r="E1294" i="1"/>
  <c r="E1293" i="1"/>
  <c r="E1292" i="1"/>
  <c r="E1291" i="1"/>
  <c r="E1290" i="1"/>
  <c r="E1289" i="1"/>
  <c r="E1288" i="1"/>
  <c r="E1287" i="1"/>
  <c r="E1286" i="1"/>
  <c r="E1285" i="1"/>
  <c r="E1284" i="1"/>
  <c r="E1283" i="1"/>
  <c r="E1282" i="1"/>
  <c r="E1281" i="1"/>
  <c r="E1280" i="1"/>
  <c r="E1279" i="1"/>
  <c r="E1278" i="1"/>
  <c r="E1277" i="1"/>
  <c r="E1276" i="1"/>
  <c r="E1275" i="1"/>
  <c r="E1274" i="1"/>
  <c r="E1273" i="1"/>
  <c r="E1272" i="1"/>
  <c r="E1271" i="1"/>
  <c r="E1270" i="1"/>
  <c r="E1269" i="1"/>
  <c r="E1268" i="1"/>
  <c r="E1267" i="1"/>
  <c r="E1266" i="1"/>
  <c r="E1265" i="1"/>
  <c r="E1264" i="1"/>
  <c r="E1263" i="1"/>
  <c r="E1262" i="1"/>
  <c r="E1261" i="1"/>
  <c r="E1260" i="1"/>
  <c r="E1259" i="1"/>
  <c r="E1258" i="1"/>
  <c r="E1257" i="1"/>
  <c r="E1256" i="1"/>
  <c r="E1255" i="1"/>
  <c r="E1254" i="1"/>
  <c r="E1253" i="1"/>
  <c r="E1252" i="1"/>
  <c r="E1251" i="1"/>
  <c r="E1250" i="1"/>
  <c r="E1249" i="1"/>
  <c r="E1248" i="1"/>
  <c r="E1247" i="1"/>
  <c r="E1246" i="1"/>
  <c r="E1245" i="1"/>
  <c r="E1244" i="1"/>
  <c r="E1243" i="1"/>
  <c r="E1242" i="1"/>
  <c r="E1241" i="1"/>
  <c r="E1240" i="1"/>
  <c r="E1239" i="1"/>
  <c r="E1238" i="1"/>
  <c r="E1237" i="1"/>
  <c r="E1236" i="1"/>
  <c r="E1235" i="1"/>
  <c r="E1234" i="1"/>
  <c r="E1233" i="1"/>
  <c r="E1232" i="1"/>
  <c r="E1231" i="1"/>
  <c r="E1230" i="1"/>
  <c r="E1229" i="1"/>
  <c r="E1228" i="1"/>
  <c r="E1227" i="1"/>
  <c r="E1226" i="1"/>
  <c r="E1225" i="1"/>
  <c r="E1224" i="1"/>
  <c r="E1223" i="1"/>
  <c r="E1222" i="1"/>
  <c r="E1221" i="1"/>
  <c r="E1220" i="1"/>
  <c r="E1219" i="1"/>
  <c r="E1218" i="1"/>
  <c r="E1217" i="1"/>
  <c r="E1216" i="1"/>
  <c r="E1215" i="1"/>
  <c r="E1214" i="1"/>
  <c r="E1213" i="1"/>
  <c r="E1212" i="1"/>
  <c r="E1211" i="1"/>
  <c r="E1210" i="1"/>
  <c r="E1209" i="1"/>
  <c r="E1208" i="1"/>
  <c r="E1207" i="1"/>
  <c r="E1206" i="1"/>
  <c r="E1205" i="1"/>
  <c r="E1204" i="1"/>
  <c r="E1203" i="1"/>
  <c r="E1202" i="1"/>
  <c r="E1201" i="1"/>
  <c r="E1200" i="1"/>
  <c r="E1199" i="1"/>
  <c r="E1198" i="1"/>
  <c r="E1197" i="1"/>
  <c r="E1196" i="1"/>
  <c r="E1195" i="1"/>
  <c r="E1194" i="1"/>
  <c r="E1193" i="1"/>
  <c r="E1192" i="1"/>
  <c r="E1191" i="1"/>
  <c r="E1190" i="1"/>
  <c r="E1189" i="1"/>
  <c r="E1188" i="1"/>
  <c r="E1187" i="1"/>
  <c r="E1186" i="1"/>
  <c r="E1185" i="1"/>
  <c r="E1184" i="1"/>
  <c r="E1183" i="1"/>
  <c r="E1182" i="1"/>
  <c r="E1181" i="1"/>
  <c r="E1180" i="1"/>
  <c r="E1179" i="1"/>
  <c r="E1178" i="1"/>
  <c r="E1177" i="1"/>
  <c r="E1176" i="1"/>
  <c r="E1175" i="1"/>
  <c r="E1174" i="1"/>
  <c r="E1173" i="1"/>
  <c r="E1172" i="1"/>
  <c r="E1171" i="1"/>
  <c r="E1170" i="1"/>
  <c r="E1169" i="1"/>
  <c r="E1168" i="1"/>
  <c r="E1167" i="1"/>
  <c r="E1166" i="1"/>
  <c r="E1165" i="1"/>
  <c r="E1164" i="1"/>
  <c r="E1163" i="1"/>
  <c r="E1162" i="1"/>
  <c r="E1161" i="1"/>
  <c r="E1160" i="1"/>
  <c r="E1159" i="1"/>
  <c r="E1158" i="1"/>
  <c r="E1157" i="1"/>
  <c r="E1156" i="1"/>
  <c r="E1155" i="1"/>
  <c r="E1154" i="1"/>
  <c r="E1153" i="1"/>
  <c r="E1152" i="1"/>
  <c r="E1151" i="1"/>
  <c r="E1150" i="1"/>
  <c r="E1149" i="1"/>
  <c r="E1148" i="1"/>
  <c r="E1147" i="1"/>
  <c r="E1146" i="1"/>
  <c r="E1145" i="1"/>
  <c r="E1144" i="1"/>
  <c r="E1143" i="1"/>
  <c r="E1142" i="1"/>
  <c r="E1141" i="1"/>
  <c r="E1140" i="1"/>
  <c r="E1139" i="1"/>
  <c r="E1138" i="1"/>
  <c r="E1137" i="1"/>
  <c r="E1136" i="1"/>
  <c r="E1135" i="1"/>
  <c r="E1134" i="1"/>
  <c r="E1133" i="1"/>
  <c r="E1132" i="1"/>
  <c r="E1131" i="1"/>
  <c r="E1130" i="1"/>
  <c r="E1129" i="1"/>
  <c r="E1128" i="1"/>
  <c r="E1127" i="1"/>
  <c r="E1126" i="1"/>
  <c r="E1125" i="1"/>
  <c r="E1124" i="1"/>
  <c r="E1123" i="1"/>
  <c r="E1122" i="1"/>
  <c r="E1121" i="1"/>
  <c r="E1120" i="1"/>
  <c r="E1119" i="1"/>
  <c r="E1118" i="1"/>
  <c r="E1117" i="1"/>
  <c r="E1116" i="1"/>
  <c r="E1115" i="1"/>
  <c r="E1114" i="1"/>
  <c r="E1113" i="1"/>
  <c r="E1112" i="1"/>
  <c r="E1111" i="1"/>
  <c r="E1110" i="1"/>
  <c r="E1109" i="1"/>
  <c r="E1108" i="1"/>
  <c r="E1107" i="1"/>
  <c r="E1106" i="1"/>
  <c r="E1105" i="1"/>
  <c r="E1104" i="1"/>
  <c r="E1103" i="1"/>
  <c r="E1102" i="1"/>
  <c r="E1101" i="1"/>
  <c r="E1100" i="1"/>
  <c r="E1099" i="1"/>
  <c r="E1098" i="1"/>
  <c r="E1097" i="1"/>
  <c r="E1096" i="1"/>
  <c r="E1095" i="1"/>
  <c r="E1094" i="1"/>
  <c r="E1093" i="1"/>
  <c r="E1092" i="1"/>
  <c r="E1091" i="1"/>
  <c r="E1090" i="1"/>
  <c r="E1089" i="1"/>
  <c r="E1088" i="1"/>
  <c r="E1087" i="1"/>
  <c r="E1086" i="1"/>
  <c r="E1085" i="1"/>
  <c r="E1084" i="1"/>
  <c r="E1083" i="1"/>
  <c r="E1082" i="1"/>
  <c r="E1081" i="1"/>
  <c r="E1080" i="1"/>
  <c r="E1079" i="1"/>
  <c r="E1078" i="1"/>
  <c r="E1077" i="1"/>
  <c r="E1076" i="1"/>
  <c r="E1075" i="1"/>
  <c r="E1074" i="1"/>
  <c r="E1073" i="1"/>
  <c r="E1072" i="1"/>
  <c r="E1071" i="1"/>
  <c r="E1070" i="1"/>
  <c r="E1069" i="1"/>
  <c r="E1068" i="1"/>
  <c r="E1067" i="1"/>
  <c r="E1066" i="1"/>
  <c r="E1065" i="1"/>
  <c r="E1064" i="1"/>
  <c r="E1063" i="1"/>
  <c r="E1062" i="1"/>
  <c r="E1061" i="1"/>
  <c r="E1060" i="1"/>
  <c r="E1059" i="1"/>
  <c r="E1058" i="1"/>
  <c r="E1057" i="1"/>
  <c r="E1056" i="1"/>
  <c r="E1055" i="1"/>
  <c r="E1054" i="1"/>
  <c r="E1053" i="1"/>
  <c r="E1052" i="1"/>
  <c r="E1051" i="1"/>
  <c r="E1050" i="1"/>
  <c r="E1049" i="1"/>
  <c r="E1048" i="1"/>
  <c r="E1047" i="1"/>
  <c r="E1046" i="1"/>
  <c r="E1045" i="1"/>
  <c r="E1044" i="1"/>
  <c r="E1043" i="1"/>
  <c r="E1042" i="1"/>
  <c r="E1041" i="1"/>
  <c r="E1040" i="1"/>
  <c r="E1039" i="1"/>
  <c r="E1038" i="1"/>
  <c r="E1037" i="1"/>
  <c r="E1036" i="1"/>
  <c r="E1035" i="1"/>
  <c r="E1034" i="1"/>
  <c r="E1033" i="1"/>
  <c r="E1032" i="1"/>
  <c r="E1031" i="1"/>
  <c r="E1030" i="1"/>
  <c r="E1029" i="1"/>
  <c r="E1028" i="1"/>
  <c r="E1027" i="1"/>
  <c r="E1026" i="1"/>
  <c r="E1025" i="1"/>
  <c r="E1024" i="1"/>
  <c r="E1023" i="1"/>
  <c r="E1022" i="1"/>
  <c r="E1021" i="1"/>
  <c r="E1020" i="1"/>
  <c r="E1019" i="1"/>
  <c r="E1018" i="1"/>
  <c r="E1017" i="1"/>
  <c r="E1016" i="1"/>
  <c r="E1015" i="1"/>
  <c r="E1014" i="1"/>
  <c r="E1013" i="1"/>
  <c r="E1012" i="1"/>
  <c r="E1011" i="1"/>
  <c r="E1010" i="1"/>
  <c r="E1009" i="1"/>
  <c r="E1008" i="1"/>
  <c r="E1007" i="1"/>
  <c r="E1006" i="1"/>
  <c r="E1005" i="1"/>
  <c r="E1004" i="1"/>
  <c r="E1003" i="1"/>
  <c r="E1002" i="1"/>
  <c r="E1001" i="1"/>
  <c r="E1000" i="1"/>
  <c r="E999" i="1"/>
  <c r="E998" i="1"/>
  <c r="E997" i="1"/>
  <c r="E996" i="1"/>
  <c r="E995" i="1"/>
  <c r="E994" i="1"/>
  <c r="E993" i="1"/>
  <c r="E992" i="1"/>
  <c r="E991" i="1"/>
  <c r="E990" i="1"/>
  <c r="E989" i="1"/>
  <c r="E988" i="1"/>
  <c r="E987" i="1"/>
  <c r="E986" i="1"/>
  <c r="E985" i="1"/>
  <c r="E984" i="1"/>
  <c r="E983" i="1"/>
  <c r="E982" i="1"/>
  <c r="E981" i="1"/>
  <c r="E980" i="1"/>
  <c r="E979" i="1"/>
  <c r="E978" i="1"/>
  <c r="E977" i="1"/>
  <c r="E976" i="1"/>
  <c r="E975" i="1"/>
  <c r="E974" i="1"/>
  <c r="E973" i="1"/>
  <c r="E972" i="1"/>
  <c r="E971" i="1"/>
  <c r="E970" i="1"/>
  <c r="E969" i="1"/>
  <c r="E968" i="1"/>
  <c r="E967" i="1"/>
  <c r="E966" i="1"/>
  <c r="E965" i="1"/>
  <c r="E964" i="1"/>
  <c r="E963" i="1"/>
  <c r="E962" i="1"/>
  <c r="E961" i="1"/>
  <c r="E960" i="1"/>
  <c r="E959" i="1"/>
  <c r="E958" i="1"/>
  <c r="E957" i="1"/>
  <c r="E956" i="1"/>
  <c r="E955" i="1"/>
  <c r="E954" i="1"/>
  <c r="E953" i="1"/>
  <c r="E952" i="1"/>
  <c r="E951" i="1"/>
  <c r="E950" i="1"/>
  <c r="E949" i="1"/>
  <c r="E948" i="1"/>
  <c r="E947" i="1"/>
  <c r="E946" i="1"/>
  <c r="E945" i="1"/>
  <c r="E944" i="1"/>
  <c r="E943" i="1"/>
  <c r="E942" i="1"/>
  <c r="E941" i="1"/>
  <c r="E940" i="1"/>
  <c r="E939" i="1"/>
  <c r="E938" i="1"/>
  <c r="E937" i="1"/>
  <c r="E936" i="1"/>
  <c r="E935" i="1"/>
  <c r="E934" i="1"/>
  <c r="E933" i="1"/>
  <c r="E932" i="1"/>
  <c r="E931" i="1"/>
  <c r="E930" i="1"/>
  <c r="E929" i="1"/>
  <c r="E928" i="1"/>
  <c r="E927" i="1"/>
  <c r="E926" i="1"/>
  <c r="E925" i="1"/>
  <c r="E924" i="1"/>
  <c r="E923" i="1"/>
  <c r="E922" i="1"/>
  <c r="E921" i="1"/>
  <c r="E920" i="1"/>
  <c r="E919" i="1"/>
  <c r="E918" i="1"/>
  <c r="E917" i="1"/>
  <c r="E916" i="1"/>
  <c r="E915" i="1"/>
  <c r="E914" i="1"/>
  <c r="E913" i="1"/>
  <c r="E912" i="1"/>
  <c r="E911" i="1"/>
  <c r="E910" i="1"/>
  <c r="E909" i="1"/>
  <c r="E908" i="1"/>
  <c r="E907" i="1"/>
  <c r="E906" i="1"/>
  <c r="E905" i="1"/>
  <c r="E904" i="1"/>
  <c r="E903" i="1"/>
  <c r="E902" i="1"/>
  <c r="E901" i="1"/>
  <c r="E900" i="1"/>
  <c r="E899" i="1"/>
  <c r="E898" i="1"/>
  <c r="E897" i="1"/>
  <c r="E896" i="1"/>
  <c r="E895" i="1"/>
  <c r="E894" i="1"/>
  <c r="E893" i="1"/>
  <c r="E892" i="1"/>
  <c r="E891" i="1"/>
  <c r="E890" i="1"/>
  <c r="E889" i="1"/>
  <c r="E888" i="1"/>
  <c r="E887" i="1"/>
  <c r="E886" i="1"/>
  <c r="E885" i="1"/>
  <c r="E884" i="1"/>
  <c r="E883" i="1"/>
  <c r="E882" i="1"/>
  <c r="E881" i="1"/>
  <c r="E880" i="1"/>
  <c r="E879" i="1"/>
  <c r="E878" i="1"/>
  <c r="E877" i="1"/>
  <c r="E876" i="1"/>
  <c r="E875" i="1"/>
  <c r="E874" i="1"/>
  <c r="E873" i="1"/>
  <c r="E872" i="1"/>
  <c r="E871" i="1"/>
  <c r="E870" i="1"/>
  <c r="E869" i="1"/>
  <c r="E868" i="1"/>
  <c r="E867" i="1"/>
  <c r="E866" i="1"/>
  <c r="E865" i="1"/>
  <c r="E864" i="1"/>
  <c r="E863" i="1"/>
  <c r="E862" i="1"/>
  <c r="E861" i="1"/>
  <c r="E860" i="1"/>
  <c r="E859" i="1"/>
  <c r="E858" i="1"/>
  <c r="E857" i="1"/>
  <c r="E856" i="1"/>
  <c r="E855" i="1"/>
  <c r="E854" i="1"/>
  <c r="E853" i="1"/>
  <c r="E852" i="1"/>
  <c r="E851" i="1"/>
  <c r="E850" i="1"/>
  <c r="E849" i="1"/>
  <c r="E848" i="1"/>
  <c r="E847" i="1"/>
  <c r="E846" i="1"/>
  <c r="E845" i="1"/>
  <c r="E844" i="1"/>
  <c r="E843" i="1"/>
  <c r="E842" i="1"/>
  <c r="E841" i="1"/>
  <c r="E840" i="1"/>
  <c r="E839" i="1"/>
  <c r="E838" i="1"/>
  <c r="E837" i="1"/>
  <c r="E836" i="1"/>
  <c r="E835" i="1"/>
  <c r="E834" i="1"/>
  <c r="E833" i="1"/>
  <c r="E832" i="1"/>
  <c r="E831" i="1"/>
  <c r="E830" i="1"/>
  <c r="E829" i="1"/>
  <c r="E828" i="1"/>
  <c r="E827" i="1"/>
  <c r="E826" i="1"/>
  <c r="E825" i="1"/>
  <c r="E824" i="1"/>
  <c r="E823" i="1"/>
  <c r="E822" i="1"/>
  <c r="E821" i="1"/>
  <c r="E820" i="1"/>
  <c r="E819" i="1"/>
  <c r="E818" i="1"/>
  <c r="E817" i="1"/>
  <c r="E816" i="1"/>
  <c r="E815" i="1"/>
  <c r="E814" i="1"/>
  <c r="E813" i="1"/>
  <c r="E812" i="1"/>
  <c r="E811" i="1"/>
  <c r="E810" i="1"/>
  <c r="E809" i="1"/>
  <c r="E808" i="1"/>
  <c r="E807" i="1"/>
  <c r="E806" i="1"/>
  <c r="E805" i="1"/>
  <c r="E804" i="1"/>
  <c r="E803" i="1"/>
  <c r="E802" i="1"/>
  <c r="E801" i="1"/>
  <c r="E800" i="1"/>
  <c r="E799" i="1"/>
  <c r="E798" i="1"/>
  <c r="E797" i="1"/>
  <c r="E796" i="1"/>
  <c r="E795" i="1"/>
  <c r="E794" i="1"/>
  <c r="E793" i="1"/>
  <c r="E792" i="1"/>
  <c r="E791" i="1"/>
  <c r="E790" i="1"/>
  <c r="E789" i="1"/>
  <c r="E788" i="1"/>
  <c r="E787" i="1"/>
  <c r="E786" i="1"/>
  <c r="E785" i="1"/>
  <c r="E784" i="1"/>
  <c r="E783" i="1"/>
  <c r="E782" i="1"/>
  <c r="E781" i="1"/>
  <c r="E780" i="1"/>
  <c r="E779" i="1"/>
  <c r="E778" i="1"/>
  <c r="E777" i="1"/>
  <c r="E776" i="1"/>
  <c r="E775" i="1"/>
  <c r="E774" i="1"/>
  <c r="E773" i="1"/>
  <c r="E772" i="1"/>
  <c r="E771" i="1"/>
  <c r="E770" i="1"/>
  <c r="E769" i="1"/>
  <c r="E768" i="1"/>
  <c r="E767" i="1"/>
  <c r="E766" i="1"/>
  <c r="E765" i="1"/>
  <c r="E764" i="1"/>
  <c r="E763" i="1"/>
  <c r="E762" i="1"/>
  <c r="E761" i="1"/>
  <c r="E760" i="1"/>
  <c r="E759" i="1"/>
  <c r="E758" i="1"/>
  <c r="E757" i="1"/>
  <c r="E756" i="1"/>
  <c r="E755" i="1"/>
  <c r="E754" i="1"/>
  <c r="E753" i="1"/>
  <c r="E752" i="1"/>
  <c r="E751" i="1"/>
  <c r="E750" i="1"/>
  <c r="E749" i="1"/>
  <c r="E748" i="1"/>
  <c r="E747" i="1"/>
  <c r="E746" i="1"/>
  <c r="E745" i="1"/>
  <c r="E744" i="1"/>
  <c r="E743" i="1"/>
  <c r="E742" i="1"/>
  <c r="E741" i="1"/>
  <c r="E740" i="1"/>
  <c r="E739" i="1"/>
  <c r="E738" i="1"/>
  <c r="E737" i="1"/>
  <c r="E736" i="1"/>
  <c r="E735" i="1"/>
  <c r="E734" i="1"/>
  <c r="E733" i="1"/>
  <c r="E732" i="1"/>
  <c r="E731" i="1"/>
  <c r="E730" i="1"/>
  <c r="E729" i="1"/>
  <c r="E728" i="1"/>
  <c r="E727" i="1"/>
  <c r="E726" i="1"/>
  <c r="E725" i="1"/>
  <c r="E724" i="1"/>
  <c r="E723" i="1"/>
  <c r="E722" i="1"/>
  <c r="E721" i="1"/>
  <c r="E720" i="1"/>
  <c r="E719" i="1"/>
  <c r="E718" i="1"/>
  <c r="E717" i="1"/>
  <c r="E716" i="1"/>
  <c r="E715" i="1"/>
  <c r="E714" i="1"/>
  <c r="E713" i="1"/>
  <c r="E712" i="1"/>
  <c r="E711" i="1"/>
  <c r="E710" i="1"/>
  <c r="E709" i="1"/>
  <c r="E708" i="1"/>
  <c r="E707" i="1"/>
  <c r="E706" i="1"/>
  <c r="E705" i="1"/>
  <c r="E704" i="1"/>
  <c r="E703" i="1"/>
  <c r="E702" i="1"/>
  <c r="E701" i="1"/>
  <c r="E700" i="1"/>
  <c r="E699" i="1"/>
  <c r="E698" i="1"/>
  <c r="E697" i="1"/>
  <c r="E696" i="1"/>
  <c r="E695" i="1"/>
  <c r="E694" i="1"/>
  <c r="E693" i="1"/>
  <c r="E692" i="1"/>
  <c r="E691" i="1"/>
  <c r="E690" i="1"/>
  <c r="E689" i="1"/>
  <c r="E688" i="1"/>
  <c r="E687" i="1"/>
  <c r="E686" i="1"/>
  <c r="E685" i="1"/>
  <c r="E684" i="1"/>
  <c r="E683" i="1"/>
  <c r="E682" i="1"/>
  <c r="E681" i="1"/>
  <c r="E680" i="1"/>
  <c r="E679" i="1"/>
  <c r="E678" i="1"/>
  <c r="E677" i="1"/>
  <c r="E676" i="1"/>
  <c r="E675" i="1"/>
  <c r="E674" i="1"/>
  <c r="E673" i="1"/>
  <c r="E672" i="1"/>
  <c r="E671" i="1"/>
  <c r="E670" i="1"/>
  <c r="E669" i="1"/>
  <c r="E668" i="1"/>
  <c r="E667" i="1"/>
  <c r="E666" i="1"/>
  <c r="E665" i="1"/>
  <c r="E664" i="1"/>
  <c r="E663" i="1"/>
  <c r="E662" i="1"/>
  <c r="E661" i="1"/>
  <c r="E660" i="1"/>
  <c r="E659" i="1"/>
  <c r="E658" i="1"/>
  <c r="E657" i="1"/>
  <c r="E656" i="1"/>
  <c r="E655" i="1"/>
  <c r="E654" i="1"/>
  <c r="E653" i="1"/>
  <c r="E652" i="1"/>
  <c r="E651" i="1"/>
  <c r="E650" i="1"/>
  <c r="E649" i="1"/>
  <c r="E648" i="1"/>
  <c r="E647" i="1"/>
  <c r="E646" i="1"/>
  <c r="E645" i="1"/>
  <c r="E644" i="1"/>
  <c r="E643" i="1"/>
  <c r="E642" i="1"/>
  <c r="E641" i="1"/>
  <c r="E640" i="1"/>
  <c r="E639" i="1"/>
  <c r="E638" i="1"/>
  <c r="E637" i="1"/>
  <c r="E636" i="1"/>
  <c r="E635" i="1"/>
  <c r="E634" i="1"/>
  <c r="E633" i="1"/>
  <c r="E632" i="1"/>
  <c r="E631" i="1"/>
  <c r="E630" i="1"/>
  <c r="E629" i="1"/>
  <c r="E628" i="1"/>
  <c r="E627" i="1"/>
  <c r="E626" i="1"/>
  <c r="E625" i="1"/>
  <c r="E624" i="1"/>
  <c r="E623" i="1"/>
  <c r="E622" i="1"/>
  <c r="E621" i="1"/>
  <c r="E620" i="1"/>
  <c r="E619" i="1"/>
  <c r="E618" i="1"/>
  <c r="E617" i="1"/>
  <c r="E616" i="1"/>
  <c r="E615" i="1"/>
  <c r="E614" i="1"/>
  <c r="E613" i="1"/>
  <c r="E612" i="1"/>
  <c r="E611" i="1"/>
  <c r="E610" i="1"/>
  <c r="E609" i="1"/>
  <c r="E608" i="1"/>
  <c r="E607" i="1"/>
  <c r="E606" i="1"/>
  <c r="E605" i="1"/>
  <c r="E604" i="1"/>
  <c r="E603" i="1"/>
  <c r="E602" i="1"/>
  <c r="E601" i="1"/>
  <c r="E600" i="1"/>
  <c r="E599" i="1"/>
  <c r="E598" i="1"/>
  <c r="E597" i="1"/>
  <c r="E596" i="1"/>
  <c r="E595" i="1"/>
  <c r="E594" i="1"/>
  <c r="E593" i="1"/>
  <c r="E592" i="1"/>
  <c r="E591" i="1"/>
  <c r="E590" i="1"/>
  <c r="E589" i="1"/>
  <c r="E588" i="1"/>
  <c r="E587" i="1"/>
  <c r="E586" i="1"/>
  <c r="E585" i="1"/>
  <c r="E584" i="1"/>
  <c r="E583" i="1"/>
  <c r="E582" i="1"/>
  <c r="E581" i="1"/>
  <c r="E580" i="1"/>
  <c r="E579" i="1"/>
  <c r="E578" i="1"/>
  <c r="E577" i="1"/>
  <c r="E576" i="1"/>
  <c r="E575" i="1"/>
  <c r="E574" i="1"/>
  <c r="E573" i="1"/>
  <c r="E572" i="1"/>
  <c r="E571" i="1"/>
  <c r="E570" i="1"/>
  <c r="E569" i="1"/>
  <c r="E568" i="1"/>
  <c r="E567" i="1"/>
  <c r="E566" i="1"/>
  <c r="E565" i="1"/>
  <c r="E564" i="1"/>
  <c r="E563" i="1"/>
  <c r="E562" i="1"/>
  <c r="E561" i="1"/>
  <c r="E560" i="1"/>
  <c r="E559" i="1"/>
  <c r="E558" i="1"/>
  <c r="E557" i="1"/>
  <c r="E556" i="1"/>
  <c r="E555" i="1"/>
  <c r="E554" i="1"/>
  <c r="E553" i="1"/>
  <c r="E552" i="1"/>
  <c r="E551" i="1"/>
  <c r="E550" i="1"/>
  <c r="E549" i="1"/>
  <c r="E548" i="1"/>
  <c r="E547" i="1"/>
  <c r="E546" i="1"/>
  <c r="E545" i="1"/>
  <c r="E544" i="1"/>
  <c r="E543" i="1"/>
  <c r="E542" i="1"/>
  <c r="E541" i="1"/>
  <c r="E540" i="1"/>
  <c r="E539" i="1"/>
  <c r="E538" i="1"/>
  <c r="E537" i="1"/>
  <c r="E536" i="1"/>
  <c r="E535" i="1"/>
  <c r="E534" i="1"/>
  <c r="E533" i="1"/>
  <c r="E532" i="1"/>
  <c r="E531" i="1"/>
  <c r="E530" i="1"/>
  <c r="E529" i="1"/>
  <c r="E528" i="1"/>
  <c r="E527" i="1"/>
  <c r="E526" i="1"/>
  <c r="E525" i="1"/>
  <c r="E524" i="1"/>
  <c r="E523" i="1"/>
  <c r="E522" i="1"/>
  <c r="E521" i="1"/>
  <c r="E520" i="1"/>
  <c r="E519" i="1"/>
  <c r="E518" i="1"/>
  <c r="E517" i="1"/>
  <c r="E516" i="1"/>
  <c r="E515" i="1"/>
  <c r="E514" i="1"/>
  <c r="E513" i="1"/>
  <c r="E512" i="1"/>
  <c r="E511" i="1"/>
  <c r="E510" i="1"/>
  <c r="E509" i="1"/>
  <c r="E508" i="1"/>
  <c r="E507" i="1"/>
  <c r="E506" i="1"/>
  <c r="E505" i="1"/>
  <c r="E504" i="1"/>
  <c r="E503" i="1"/>
  <c r="E502" i="1"/>
  <c r="E501" i="1"/>
  <c r="E500" i="1"/>
  <c r="E499" i="1"/>
  <c r="E498" i="1"/>
  <c r="E497" i="1"/>
  <c r="E496" i="1"/>
  <c r="E495" i="1"/>
  <c r="E494" i="1"/>
  <c r="E493" i="1"/>
  <c r="E492" i="1"/>
  <c r="E491" i="1"/>
  <c r="E490" i="1"/>
  <c r="E489" i="1"/>
  <c r="E488" i="1"/>
  <c r="E487" i="1"/>
  <c r="E486" i="1"/>
  <c r="E485" i="1"/>
  <c r="E484" i="1"/>
  <c r="E483" i="1"/>
  <c r="E482" i="1"/>
  <c r="E481" i="1"/>
  <c r="E480" i="1"/>
  <c r="E479" i="1"/>
  <c r="E478" i="1"/>
  <c r="E477" i="1"/>
  <c r="E476" i="1"/>
  <c r="E475" i="1"/>
  <c r="E474" i="1"/>
  <c r="E473" i="1"/>
  <c r="E472" i="1"/>
  <c r="E471" i="1"/>
  <c r="E470" i="1"/>
  <c r="E469" i="1"/>
  <c r="E468" i="1"/>
  <c r="E467" i="1"/>
  <c r="E466" i="1"/>
  <c r="E465" i="1"/>
  <c r="E464" i="1"/>
  <c r="E463" i="1"/>
  <c r="E462" i="1"/>
  <c r="E461" i="1"/>
  <c r="E460" i="1"/>
  <c r="E459" i="1"/>
  <c r="E458" i="1"/>
  <c r="E457" i="1"/>
  <c r="E456" i="1"/>
  <c r="E455" i="1"/>
  <c r="E454" i="1"/>
  <c r="E453" i="1"/>
  <c r="E452" i="1"/>
  <c r="E451" i="1"/>
  <c r="E450" i="1"/>
  <c r="E449" i="1"/>
  <c r="E448" i="1"/>
  <c r="E447" i="1"/>
  <c r="E446" i="1"/>
  <c r="E445" i="1"/>
  <c r="E444" i="1"/>
  <c r="E443" i="1"/>
  <c r="E442" i="1"/>
  <c r="E441" i="1"/>
  <c r="E440" i="1"/>
  <c r="E439" i="1"/>
  <c r="E438" i="1"/>
  <c r="E437" i="1"/>
  <c r="E436" i="1"/>
  <c r="E435" i="1"/>
  <c r="E434" i="1"/>
  <c r="E433" i="1"/>
  <c r="E432" i="1"/>
  <c r="E431" i="1"/>
  <c r="E430" i="1"/>
  <c r="E429" i="1"/>
  <c r="E428" i="1"/>
  <c r="E427" i="1"/>
  <c r="E426" i="1"/>
  <c r="E425" i="1"/>
  <c r="E424" i="1"/>
  <c r="E423" i="1"/>
  <c r="E422" i="1"/>
  <c r="E421" i="1"/>
  <c r="E420" i="1"/>
  <c r="E419" i="1"/>
  <c r="E418" i="1"/>
  <c r="E417" i="1"/>
  <c r="E416" i="1"/>
  <c r="E415" i="1"/>
  <c r="E414" i="1"/>
  <c r="E413" i="1"/>
  <c r="E412" i="1"/>
  <c r="E411" i="1"/>
  <c r="E410" i="1"/>
  <c r="E409" i="1"/>
  <c r="E408" i="1"/>
  <c r="E407" i="1"/>
  <c r="E406" i="1"/>
  <c r="E405" i="1"/>
  <c r="E404" i="1"/>
  <c r="E403" i="1"/>
  <c r="E402" i="1"/>
  <c r="E401" i="1"/>
  <c r="E400" i="1"/>
  <c r="E399" i="1"/>
  <c r="E398" i="1"/>
  <c r="E397" i="1"/>
  <c r="E396" i="1"/>
  <c r="E395" i="1"/>
  <c r="E394" i="1"/>
  <c r="E393" i="1"/>
  <c r="E392" i="1"/>
  <c r="E391" i="1"/>
  <c r="E390" i="1"/>
  <c r="E389" i="1"/>
  <c r="E388" i="1"/>
  <c r="E387" i="1"/>
  <c r="E386" i="1"/>
  <c r="E385" i="1"/>
  <c r="E384" i="1"/>
  <c r="E383" i="1"/>
  <c r="E382" i="1"/>
  <c r="E381" i="1"/>
  <c r="E380" i="1"/>
  <c r="E379" i="1"/>
  <c r="E378" i="1"/>
  <c r="E377" i="1"/>
  <c r="E376" i="1"/>
  <c r="E375" i="1"/>
  <c r="E374" i="1"/>
  <c r="E373" i="1"/>
  <c r="E372" i="1"/>
  <c r="E371" i="1"/>
  <c r="E370" i="1"/>
  <c r="E369" i="1"/>
  <c r="E368" i="1"/>
  <c r="E367" i="1"/>
  <c r="E366" i="1"/>
  <c r="E365" i="1"/>
  <c r="E364" i="1"/>
  <c r="E363" i="1"/>
  <c r="E362" i="1"/>
  <c r="E361" i="1"/>
  <c r="E360" i="1"/>
  <c r="E359" i="1"/>
  <c r="E358" i="1"/>
  <c r="E357" i="1"/>
  <c r="E356" i="1"/>
  <c r="E355" i="1"/>
  <c r="E354" i="1"/>
  <c r="E353" i="1"/>
  <c r="E352" i="1"/>
  <c r="E351" i="1"/>
  <c r="E350" i="1"/>
  <c r="E349" i="1"/>
  <c r="E348" i="1"/>
  <c r="E347" i="1"/>
  <c r="E346" i="1"/>
  <c r="E345" i="1"/>
  <c r="E344" i="1"/>
  <c r="E343" i="1"/>
  <c r="E342" i="1"/>
  <c r="E341" i="1"/>
  <c r="E340" i="1"/>
  <c r="E339" i="1"/>
  <c r="E338" i="1"/>
  <c r="E337" i="1"/>
  <c r="E336" i="1"/>
  <c r="E335" i="1"/>
  <c r="E334" i="1"/>
  <c r="E333" i="1"/>
  <c r="E332" i="1"/>
  <c r="E331" i="1"/>
  <c r="E330" i="1"/>
  <c r="E329" i="1"/>
  <c r="E328" i="1"/>
  <c r="E327" i="1"/>
  <c r="E326" i="1"/>
  <c r="E325" i="1"/>
  <c r="E324" i="1"/>
  <c r="E323" i="1"/>
  <c r="E322" i="1"/>
  <c r="E321" i="1"/>
  <c r="E320" i="1"/>
  <c r="E319" i="1"/>
  <c r="E318" i="1"/>
  <c r="E317" i="1"/>
  <c r="E316" i="1"/>
  <c r="E315" i="1"/>
  <c r="E314" i="1"/>
  <c r="E313" i="1"/>
  <c r="E312" i="1"/>
  <c r="E311" i="1"/>
  <c r="E310" i="1"/>
  <c r="E309" i="1"/>
  <c r="E308" i="1"/>
  <c r="E307" i="1"/>
  <c r="E306" i="1"/>
  <c r="E305" i="1"/>
  <c r="E304" i="1"/>
  <c r="E303" i="1"/>
  <c r="E302" i="1"/>
  <c r="E301" i="1"/>
  <c r="E300" i="1"/>
  <c r="E299" i="1"/>
  <c r="E298" i="1"/>
  <c r="E297" i="1"/>
  <c r="E296" i="1"/>
  <c r="E295" i="1"/>
  <c r="E294" i="1"/>
  <c r="E293" i="1"/>
  <c r="E292" i="1"/>
  <c r="E291" i="1"/>
  <c r="E290" i="1"/>
  <c r="E289" i="1"/>
  <c r="E288" i="1"/>
  <c r="E287" i="1"/>
  <c r="E286" i="1"/>
  <c r="E285" i="1"/>
  <c r="E284" i="1"/>
  <c r="E283" i="1"/>
  <c r="E282" i="1"/>
  <c r="E281" i="1"/>
  <c r="E280" i="1"/>
  <c r="E279" i="1"/>
  <c r="E278" i="1"/>
  <c r="E277" i="1"/>
  <c r="E276" i="1"/>
  <c r="E275" i="1"/>
  <c r="E274" i="1"/>
  <c r="E273" i="1"/>
  <c r="E272" i="1"/>
  <c r="E271" i="1"/>
  <c r="E270" i="1"/>
  <c r="E269" i="1"/>
  <c r="E268" i="1"/>
  <c r="E267" i="1"/>
  <c r="E266" i="1"/>
  <c r="E265" i="1"/>
  <c r="E264" i="1"/>
  <c r="E263" i="1"/>
  <c r="E262" i="1"/>
  <c r="E261" i="1"/>
  <c r="E260" i="1"/>
  <c r="E259" i="1"/>
  <c r="E258" i="1"/>
  <c r="E257" i="1"/>
  <c r="E256" i="1"/>
  <c r="E255" i="1"/>
  <c r="E254" i="1"/>
  <c r="E253" i="1"/>
  <c r="E252" i="1"/>
  <c r="E251" i="1"/>
  <c r="E250" i="1"/>
  <c r="E249" i="1"/>
  <c r="E248" i="1"/>
  <c r="E247" i="1"/>
  <c r="E246" i="1"/>
  <c r="E245" i="1"/>
  <c r="E244" i="1"/>
  <c r="E243" i="1"/>
  <c r="E242" i="1"/>
  <c r="E241" i="1"/>
  <c r="E240" i="1"/>
  <c r="E239" i="1"/>
  <c r="E238" i="1"/>
  <c r="E237" i="1"/>
  <c r="E236" i="1"/>
  <c r="E235" i="1"/>
  <c r="E234" i="1"/>
  <c r="E233" i="1"/>
  <c r="E232" i="1"/>
  <c r="E231" i="1"/>
  <c r="E230" i="1"/>
  <c r="E229" i="1"/>
  <c r="E228" i="1"/>
  <c r="E227" i="1"/>
  <c r="E226" i="1"/>
  <c r="E225" i="1"/>
  <c r="E224" i="1"/>
  <c r="E223" i="1"/>
  <c r="E222" i="1"/>
  <c r="E221" i="1"/>
  <c r="E220" i="1"/>
  <c r="E219" i="1"/>
  <c r="E218" i="1"/>
  <c r="E217" i="1"/>
  <c r="E216" i="1"/>
  <c r="E215" i="1"/>
  <c r="E214" i="1"/>
  <c r="E213" i="1"/>
  <c r="E212" i="1"/>
  <c r="E211" i="1"/>
  <c r="E210" i="1"/>
  <c r="E209" i="1"/>
  <c r="E208" i="1"/>
  <c r="E207" i="1"/>
  <c r="E206" i="1"/>
  <c r="E205" i="1"/>
  <c r="E204" i="1"/>
  <c r="E203" i="1"/>
  <c r="E202" i="1"/>
  <c r="E201" i="1"/>
  <c r="E200" i="1"/>
  <c r="E199" i="1"/>
  <c r="E198" i="1"/>
  <c r="E197" i="1"/>
  <c r="E196" i="1"/>
  <c r="E195" i="1"/>
  <c r="E194" i="1"/>
  <c r="E193" i="1"/>
  <c r="E192" i="1"/>
  <c r="E191" i="1"/>
  <c r="E190" i="1"/>
  <c r="E189" i="1"/>
  <c r="E188" i="1"/>
  <c r="E187" i="1"/>
  <c r="E186" i="1"/>
  <c r="E185" i="1"/>
  <c r="E184" i="1"/>
  <c r="E183" i="1"/>
  <c r="E182" i="1"/>
  <c r="E181" i="1"/>
  <c r="E180" i="1"/>
  <c r="E179" i="1"/>
  <c r="E178" i="1"/>
  <c r="E177" i="1"/>
  <c r="E176" i="1"/>
  <c r="E175" i="1"/>
  <c r="E174" i="1"/>
  <c r="E173" i="1"/>
  <c r="E172" i="1"/>
  <c r="E171" i="1"/>
  <c r="E170" i="1"/>
  <c r="E169" i="1"/>
  <c r="E168" i="1"/>
  <c r="E167" i="1"/>
  <c r="E166" i="1"/>
  <c r="E165" i="1"/>
  <c r="E164" i="1"/>
  <c r="E163" i="1"/>
  <c r="E162" i="1"/>
  <c r="E161" i="1"/>
  <c r="E160" i="1"/>
  <c r="E159" i="1"/>
  <c r="E158" i="1"/>
  <c r="E157" i="1"/>
  <c r="E156" i="1"/>
  <c r="E155" i="1"/>
  <c r="E154" i="1"/>
  <c r="E153" i="1"/>
  <c r="E152" i="1"/>
  <c r="E151" i="1"/>
  <c r="E150" i="1"/>
  <c r="E149" i="1"/>
  <c r="E148" i="1"/>
  <c r="E147" i="1"/>
  <c r="E146" i="1"/>
  <c r="E145" i="1"/>
  <c r="E144" i="1"/>
  <c r="E143" i="1"/>
  <c r="E142" i="1"/>
  <c r="E141" i="1"/>
  <c r="E140" i="1"/>
  <c r="E139" i="1"/>
  <c r="E138" i="1"/>
  <c r="E137" i="1"/>
  <c r="E136" i="1"/>
  <c r="E135" i="1"/>
  <c r="E134" i="1"/>
  <c r="E133" i="1"/>
  <c r="E132" i="1"/>
  <c r="E131" i="1"/>
  <c r="E130" i="1"/>
  <c r="E129" i="1"/>
  <c r="E128" i="1"/>
  <c r="E127" i="1"/>
  <c r="E126" i="1"/>
  <c r="E125" i="1"/>
  <c r="E124" i="1"/>
  <c r="E123" i="1"/>
  <c r="E122" i="1"/>
  <c r="E121" i="1"/>
  <c r="E120" i="1"/>
  <c r="E119" i="1"/>
  <c r="E118" i="1"/>
  <c r="E117" i="1"/>
  <c r="E116" i="1"/>
  <c r="E115" i="1"/>
  <c r="E114" i="1"/>
  <c r="E113" i="1"/>
  <c r="E112" i="1"/>
  <c r="E111" i="1"/>
  <c r="E110" i="1"/>
  <c r="E109" i="1"/>
  <c r="E108" i="1"/>
  <c r="E107" i="1"/>
  <c r="E106" i="1"/>
  <c r="E105" i="1"/>
  <c r="E104" i="1"/>
  <c r="E103" i="1"/>
  <c r="E102" i="1"/>
  <c r="E101" i="1"/>
  <c r="E100" i="1"/>
  <c r="E99" i="1"/>
  <c r="E98" i="1"/>
  <c r="E97" i="1"/>
  <c r="E96" i="1"/>
  <c r="E95" i="1"/>
  <c r="E94" i="1"/>
  <c r="E93" i="1"/>
  <c r="E92" i="1"/>
  <c r="E91" i="1"/>
  <c r="E90" i="1"/>
  <c r="E89" i="1"/>
  <c r="E88" i="1"/>
  <c r="E87" i="1"/>
  <c r="E86" i="1"/>
  <c r="E85" i="1"/>
  <c r="E84" i="1"/>
  <c r="E83" i="1"/>
  <c r="E82" i="1"/>
  <c r="E81" i="1"/>
  <c r="E80" i="1"/>
  <c r="E79" i="1"/>
  <c r="E78" i="1"/>
  <c r="E77" i="1"/>
  <c r="E76" i="1"/>
  <c r="E75" i="1"/>
  <c r="E74" i="1"/>
  <c r="E73" i="1"/>
  <c r="E72" i="1"/>
  <c r="E71" i="1"/>
  <c r="E70" i="1"/>
  <c r="E69" i="1"/>
  <c r="E68" i="1"/>
  <c r="E67" i="1"/>
  <c r="E66" i="1"/>
  <c r="E65" i="1"/>
  <c r="E64" i="1"/>
  <c r="E63" i="1"/>
  <c r="E62" i="1"/>
  <c r="E61" i="1"/>
  <c r="E60" i="1"/>
  <c r="E59" i="1"/>
  <c r="E58" i="1"/>
  <c r="E57" i="1"/>
  <c r="E56" i="1"/>
  <c r="E55" i="1"/>
  <c r="E54" i="1"/>
  <c r="E53" i="1"/>
  <c r="E52" i="1"/>
  <c r="E51" i="1"/>
  <c r="E50" i="1"/>
  <c r="E49" i="1"/>
  <c r="E48" i="1"/>
  <c r="E47" i="1"/>
  <c r="E46" i="1"/>
  <c r="E45" i="1"/>
  <c r="E44" i="1"/>
  <c r="E43" i="1"/>
  <c r="E42" i="1"/>
  <c r="E41" i="1"/>
  <c r="E40" i="1"/>
  <c r="E39" i="1"/>
  <c r="E38" i="1"/>
  <c r="E37" i="1"/>
  <c r="E36" i="1"/>
  <c r="E35" i="1"/>
  <c r="E34" i="1"/>
  <c r="E33" i="1"/>
  <c r="E32" i="1"/>
  <c r="E31" i="1"/>
  <c r="E30" i="1"/>
  <c r="E29" i="1"/>
  <c r="E28" i="1"/>
  <c r="E27" i="1"/>
  <c r="E26" i="1"/>
  <c r="E25" i="1"/>
  <c r="E24" i="1"/>
  <c r="E23" i="1"/>
  <c r="E22" i="1"/>
  <c r="E21" i="1"/>
  <c r="E20" i="1"/>
  <c r="E19" i="1"/>
  <c r="E18" i="1"/>
  <c r="E17" i="1"/>
  <c r="E16" i="1"/>
  <c r="E15" i="1"/>
  <c r="E14" i="1"/>
  <c r="E13" i="1"/>
  <c r="E12" i="1"/>
  <c r="E11" i="1"/>
  <c r="E10" i="1"/>
  <c r="E9" i="1"/>
  <c r="E8" i="1"/>
  <c r="E7" i="1"/>
  <c r="E6" i="1"/>
  <c r="E5" i="1"/>
  <c r="E4" i="1"/>
  <c r="E3" i="1"/>
  <c r="E2" i="1"/>
</calcChain>
</file>

<file path=xl/sharedStrings.xml><?xml version="1.0" encoding="utf-8"?>
<sst xmlns="http://schemas.openxmlformats.org/spreadsheetml/2006/main" count="13526" uniqueCount="7929">
  <si>
    <t>Part Description</t>
  </si>
  <si>
    <t>Vendor Part #</t>
  </si>
  <si>
    <t>Unit</t>
  </si>
  <si>
    <t>List Price</t>
  </si>
  <si>
    <t>Product Family</t>
  </si>
  <si>
    <t>4056-2-1420</t>
  </si>
  <si>
    <t>12 Months Premium 24x7 Upgrade for GigaSMART, GigaVUE-HC1 license, Header Stripping feature.</t>
  </si>
  <si>
    <t>SMT-HC1-HS1-U</t>
  </si>
  <si>
    <t>EA</t>
  </si>
  <si>
    <t/>
  </si>
  <si>
    <t>Gigamon</t>
  </si>
  <si>
    <t>SMT-HC1-TUN-2-2a</t>
  </si>
  <si>
    <t>GigaSMART, GigaVUE-HC1 license, Tunneling feature (includes ERSPAN De-Encapsulation)</t>
  </si>
  <si>
    <t>SMT-HC1-TUN</t>
  </si>
  <si>
    <t>4056-2-1422</t>
  </si>
  <si>
    <t>12 Months Standard Support and Software Maintenance for GigaSMART, GigaVUE-HC1 license, Tunneling feature (includes ERSPAN De-Encapsulation).</t>
  </si>
  <si>
    <t>SMT-HC1-TUN-SM</t>
  </si>
  <si>
    <t>4056-2-1423</t>
  </si>
  <si>
    <t>12 Months Premium 24x7 Support and Software Maintenance for GigaSMART, GigaVUE-HC1 license, Tunneling feature (includes ERSPAN De-Encapsulation).</t>
  </si>
  <si>
    <t>SMT-HC1-TUN-PM</t>
  </si>
  <si>
    <t>4056-2-1424</t>
  </si>
  <si>
    <t>Multi-Year Allowance for Advanced Support and Software Maintenance for GigaSMART, GigaVUE-HC1 license, Tunneling feature (includes ERSPAN De-Encapsulation)</t>
  </si>
  <si>
    <t>SMT-HC1-TUN-AS</t>
  </si>
  <si>
    <t>4056-2-1425</t>
  </si>
  <si>
    <t>12 Months Premium 24x7 Upgrade for GigaSMART, GigaVUE-HC1 license, Tunneling feature (includes ERSPAN De-Encapsulation).</t>
  </si>
  <si>
    <t>SMT-HC1-TUN-U</t>
  </si>
  <si>
    <t>SMT-HC1-NF1-2-2a</t>
  </si>
  <si>
    <t>GigaSMART, GigaVUE-HC1 license, NetFlow Generation feature</t>
  </si>
  <si>
    <t>SMT-HC1-NF1</t>
  </si>
  <si>
    <t>4056-2-1427</t>
  </si>
  <si>
    <t>12 Months Standard Support and Software Maintenance for GigaSMART, GigaVUE-HC1 license, NetFlow Generation feature.</t>
  </si>
  <si>
    <t>SMT-HC1-NF1-SM</t>
  </si>
  <si>
    <t>4056-2-1428</t>
  </si>
  <si>
    <t>12 Months Premium 24x7 Support and Software Maintenance for GigaSMART, GigaVUE-HC1 license, NetFlow Generation feature.</t>
  </si>
  <si>
    <t>SMT-HC1-NF1-PM</t>
  </si>
  <si>
    <t>4056-2-1429</t>
  </si>
  <si>
    <t>Multi-Year Allowance for Advanced Support and Software Maintenance for GigaSMART, GigaVUE-HC1 license, NetFlow Generation feature</t>
  </si>
  <si>
    <t>SMT-HC1-NF1-AS</t>
  </si>
  <si>
    <t>4056-2-1430</t>
  </si>
  <si>
    <t>12 Months Premium 24x7 Upgrade for GigaSMART, GigaVUE-HC1 license, NetFlow Generation feature.</t>
  </si>
  <si>
    <t>SMT-HC1-NF1-U</t>
  </si>
  <si>
    <t>TAP-HC1-G10040-2-2a</t>
  </si>
  <si>
    <t>TAP and Bypass module, GigaVUE-HC1, 10/100/1000M Copper, 4 TAPs or Bypass pairs</t>
  </si>
  <si>
    <t>TAP-HC1-G10040</t>
  </si>
  <si>
    <t>4056-2-1432</t>
  </si>
  <si>
    <t>12 Months Standard Support and Software Maintenance for TAP and Bypass module, GigaVUE-HC1, 10/100/1000M Copper, 4 TAPs or BPC pairs</t>
  </si>
  <si>
    <t>TAP-HC1-G10040-SM</t>
  </si>
  <si>
    <t>4056-2-1433</t>
  </si>
  <si>
    <t>12 Months Premium 24x7 Support and Software Maintenance for TAP and Bypass module, GigaVUE-HC1, 10/100/1000M Copper, 4 TAPs or BPC pairs</t>
  </si>
  <si>
    <t>TAP-HC1-G10040-PM</t>
  </si>
  <si>
    <t>4056-2-1434</t>
  </si>
  <si>
    <t>Multi-Year Allowance for Advanced Support and Software Maintenance for TAP and Bypass module, GigaVUE-HC1, 10/100/1000M Copper, 4 TAPs or BPC pairs</t>
  </si>
  <si>
    <t>TAP-HC1-G10040-AS</t>
  </si>
  <si>
    <t>TAP-M471-SR10</t>
  </si>
  <si>
    <t>G-TAP M Series 100Gb TAP module, 70/30 Multimode, 850 nm, MPO fiber, taps 3 100G SR10 links, requires TAP-M200 chassis. Not TAA Compliant. (EOS May 31, 2021)</t>
  </si>
  <si>
    <t>G-TAP</t>
  </si>
  <si>
    <t>CTL-HC0-002-2-2a</t>
  </si>
  <si>
    <t>Control Card Version 2, GigaVUE-HC2</t>
  </si>
  <si>
    <t>CTL-HC0-002</t>
  </si>
  <si>
    <t>TAP-M506</t>
  </si>
  <si>
    <t>G-TAP M Series BiDi, 50/50 Multimode, taps 4 BiDi links, requires TAP-M200 chassis</t>
  </si>
  <si>
    <t>PNL-M341</t>
  </si>
  <si>
    <t>G-TAP M Series Patch panel, 3xMPO to 12xLC duplex Multimode, requires TAP-M200 chassis. Not TAA Compliant.</t>
  </si>
  <si>
    <t>GFM-AWS-100-2-2a</t>
  </si>
  <si>
    <t>Monthly Term license for traffic visibility up to 100 virtual TAP Points in AWS. Min Term is 12 months. Includes bundled Elite Support (EOS June 30, 2022)</t>
  </si>
  <si>
    <t>GFM-AWS-100</t>
  </si>
  <si>
    <t>4056-2-1483</t>
  </si>
  <si>
    <t>Multi-Year Allowance for Advanced Support and Software Maintenance for Monthly term license for traffic visibility up to 100 virtual TAP points</t>
  </si>
  <si>
    <t>GFM-AWS-100-AS</t>
  </si>
  <si>
    <t>4056-2-1484</t>
  </si>
  <si>
    <t>12 Months Premium 24x7 Support and Software Maintenance for Monthly term license for traffic visibility up to 100 virtual TAP points.</t>
  </si>
  <si>
    <t>GFM-AWS-100-PM</t>
  </si>
  <si>
    <t>4056-2-1485</t>
  </si>
  <si>
    <t>12 Months Standard Support and Software Maintenance for Monthly term license for traffic visibility up to 100 virtual TAP points.</t>
  </si>
  <si>
    <t>GFM-AWS-100-SM</t>
  </si>
  <si>
    <t>4056-2-1486</t>
  </si>
  <si>
    <t>12 Months Premium 24x7 Upgrade for Monthly term license for traffic visibility up to 100 virtual TAP points.</t>
  </si>
  <si>
    <t>GFM-AWS-100-U</t>
  </si>
  <si>
    <t>GFM-AWS-1000-2-2a</t>
  </si>
  <si>
    <t>Monthly Term license for traffic visibility up to 1000 virtual TAP Points in AWS. Min Term is 12 months. Includes bundled Elite Support (EOS June 30, 2022)</t>
  </si>
  <si>
    <t>GFM-AWS-1000</t>
  </si>
  <si>
    <t>4056-2-1488</t>
  </si>
  <si>
    <t>Multi-Year Allowance for Advanced Support and Software Maintenance for Monthly term license for traffic visibility up to 1000 virtual TAP points</t>
  </si>
  <si>
    <t>GFM-AWS-1000-AS</t>
  </si>
  <si>
    <t>4056-2-1489</t>
  </si>
  <si>
    <t>12 Months Premium 24x7 Support and Software Maintenance for Monthly term license for traffic visibility up to 1000 virtual TAP points.</t>
  </si>
  <si>
    <t>GFM-AWS-1000-PM</t>
  </si>
  <si>
    <t>4056-2-1490</t>
  </si>
  <si>
    <t>12 Months Standard Support and Software Maintenance for Monthly term license for traffic visibility up to 1000 virtual TAP points.</t>
  </si>
  <si>
    <t>GFM-AWS-1000-SM</t>
  </si>
  <si>
    <t>4056-2-1491</t>
  </si>
  <si>
    <t>12 Months Premium 24x7 Upgrade for Monthly term license for traffic visibility up to 1000 virtual TAP points.</t>
  </si>
  <si>
    <t>GFM-AWS-1000-U</t>
  </si>
  <si>
    <t>QSB-502-2-2a</t>
  </si>
  <si>
    <t>40G QSFP+ BiDi, Multimode SR, Full Duplex. Not TAA Compliant.</t>
  </si>
  <si>
    <t>QSB-502</t>
  </si>
  <si>
    <t>4056-2-1493</t>
  </si>
  <si>
    <t>GigaVUE-TA100 Fan Assembly each (3 required) (EOS Feb 28, 2022)</t>
  </si>
  <si>
    <t>FAN-TAC00</t>
  </si>
  <si>
    <t>4056-2-1494</t>
  </si>
  <si>
    <t>Power Supply Module, GigaVUE-TA100, AC, each (EOS Feb 28, 2022)</t>
  </si>
  <si>
    <t>PWR-TAC01</t>
  </si>
  <si>
    <t>4056-2-24</t>
  </si>
  <si>
    <t>12 Months Standard Support and Software Maintenance for Bypass Combo Module HC Series 4 SX/SR 50/125 BPS pairs 16 10G cages</t>
  </si>
  <si>
    <t>BPS-HC0-D25A4G-SM</t>
  </si>
  <si>
    <t>4056-2-26</t>
  </si>
  <si>
    <t>Multi-Year Allowance for Advanced Support and Software Maintenance for Bypass Combo Module HC Series 4 SX/SR 62.5/125 BPS pairs 16 10G cages</t>
  </si>
  <si>
    <t>BPS-HC0-D25B4G-AS</t>
  </si>
  <si>
    <t>4056-2-27</t>
  </si>
  <si>
    <t>12 Months Premium 24x7 Support and Software Maintenance for Bypass Combo Module HC Series 4 SX/SR 62.5/125 BPS pairs 16 10G cages</t>
  </si>
  <si>
    <t>BPS-HC0-D25B4G-PM</t>
  </si>
  <si>
    <t>4056-2-28</t>
  </si>
  <si>
    <t>12 Months Standard Support and Software Maintenance for Bypass Combo Module HC Series 4 SX/SR 62.5/125 BPS pairs 16 10G cages</t>
  </si>
  <si>
    <t>BPS-HC0-D25B4G-SM</t>
  </si>
  <si>
    <t>4056-2-30</t>
  </si>
  <si>
    <t>Multi-Year Allowance for Advanced Support and Software Maintenance for Bypass Combo Module HC Series 4 LX/LR BPS pairs 16 10G cages</t>
  </si>
  <si>
    <t>BPS-HC0-D35C4G-AS</t>
  </si>
  <si>
    <t>4056-2-31</t>
  </si>
  <si>
    <t>12 Months Premium 24x7 Support and Software Maintenance for Bypass Combo Module HC Series 4 LX/LR BPS pairs 16 10G cages</t>
  </si>
  <si>
    <t>BPS-HC0-D35C4G-PM</t>
  </si>
  <si>
    <t>4056-2-32</t>
  </si>
  <si>
    <t>12 Months Standard Support and Software Maintenance for Bypass Combo Module HC Series 4 LX/LR BPS pairs 16 10G cages</t>
  </si>
  <si>
    <t>BPS-HC0-D35C4G-SM</t>
  </si>
  <si>
    <t>4056-2-34</t>
  </si>
  <si>
    <t>Multi-Year Allowance for Advanced Support and Software Maintenance for Stacking Cable CX4 copper cable 5 meters</t>
  </si>
  <si>
    <t>CBL-005-AS</t>
  </si>
  <si>
    <t>4056-2-35</t>
  </si>
  <si>
    <t>12 Months Premium 24x7 Support and Software Maintenance for Stacking Cable CX4 copper cable 5 meters</t>
  </si>
  <si>
    <t>CBL-005-PM</t>
  </si>
  <si>
    <t>4056-2-36</t>
  </si>
  <si>
    <t>12 Months Standard Support and Software Maintenance for Stacking Cable CX4 copper cable 5 meters</t>
  </si>
  <si>
    <t>CBL-005-SM</t>
  </si>
  <si>
    <t>4056-2-38</t>
  </si>
  <si>
    <t>Multi-Year Allowance for Advanced Support and Software Maintenance for Stacking Cable CX4 copper cable 15 meters</t>
  </si>
  <si>
    <t>CBL-015-AS</t>
  </si>
  <si>
    <t>4056-2-39</t>
  </si>
  <si>
    <t>12 Months Premium 24x7 Support and Software Maintenance for Stacking Cable CX4 copper cable 15 meters</t>
  </si>
  <si>
    <t>CBL-015-PM</t>
  </si>
  <si>
    <t>4056-2-40</t>
  </si>
  <si>
    <t>12 Months Standard Support and Software Maintenance for Stacking Cable CX4 copper cable 15 meters</t>
  </si>
  <si>
    <t>CBL-015-SM</t>
  </si>
  <si>
    <t>4056-2-53</t>
  </si>
  <si>
    <t>Multi-Year Allowance for Advanced Support and Software Maintenance for Active fiber cable 3 meters (QSFP approved) (EOS)</t>
  </si>
  <si>
    <t>CBL-403-AS</t>
  </si>
  <si>
    <t>4056-2-54</t>
  </si>
  <si>
    <t>12 Months Premium 24x7 Support and Software Maintenance for Active fiber cable 3 meters (QSFP approved) (EOS)</t>
  </si>
  <si>
    <t>CBL-403-PM</t>
  </si>
  <si>
    <t>4056-2-55</t>
  </si>
  <si>
    <t>12 Months Standard Support and Software Maintenance for Active fiber cable 3 meters (QSFP approved) (EOS)</t>
  </si>
  <si>
    <t>CBL-403-SM</t>
  </si>
  <si>
    <t>4056-2-74</t>
  </si>
  <si>
    <t>12 Months Premium 24x7 Support and Software Maintenance for 100 Gig CFP Singlemode LR4</t>
  </si>
  <si>
    <t>CFP-503-PM</t>
  </si>
  <si>
    <t>4056-2-75</t>
  </si>
  <si>
    <t>12 Months Standard Support and Software Maintenance for 100 Gig CFP Singlemode LR4</t>
  </si>
  <si>
    <t>CFP-503-SM</t>
  </si>
  <si>
    <t>4056-2-76</t>
  </si>
  <si>
    <t>Multi-Year Allowance for Advanced Support and Software Maintenance for Spare Chassis for GigaVUE-212 without Power Supplies</t>
  </si>
  <si>
    <t>CHS-GV200-AS</t>
  </si>
  <si>
    <t>4056-2-77</t>
  </si>
  <si>
    <t>12 Months Premium 24x7 Support and Software Maintenance for Spare Chassis for GigaVUE-212 without Power Supplies</t>
  </si>
  <si>
    <t>CHS-GV200-PM</t>
  </si>
  <si>
    <t>4056-2-78</t>
  </si>
  <si>
    <t>12 Months Standard Support and Software Maintenance for Spare Chassis for GigaVUE-212 without Power Supplies</t>
  </si>
  <si>
    <t>CHS-GV200-SM</t>
  </si>
  <si>
    <t>4056-2-80</t>
  </si>
  <si>
    <t>Multi-Year Allowance for Advanced Support and Software Maintenance for Spare Chassis for GigaVUE-420 without Power Supplies</t>
  </si>
  <si>
    <t>CHS-GV400-AS</t>
  </si>
  <si>
    <t>4056-2-81</t>
  </si>
  <si>
    <t>12 Months Premium 24x7 Support and Software Maintenance for Spare Chassis for GigaVUE-420 without Power Supplies</t>
  </si>
  <si>
    <t>CHS-GV400-PM</t>
  </si>
  <si>
    <t>4056-2-82</t>
  </si>
  <si>
    <t>12 Months Standard Support and Software Maintenance for Spare Chassis for GigaVUE-420 without Power Supplies</t>
  </si>
  <si>
    <t>CHS-GV400-SM</t>
  </si>
  <si>
    <t>4056-2-84</t>
  </si>
  <si>
    <t>Multi-Year Allowance for Advanced Support and Software Maintenance for Spare Chassis for GigaVUE-2404 without Blades and Power Supplies</t>
  </si>
  <si>
    <t>CHS-GV600-AS</t>
  </si>
  <si>
    <t>4056-2-85</t>
  </si>
  <si>
    <t>12 Months Premium 24x7 Support and Software Maintenance for Spare Chassis for GigaVUE-2404 without Blades and Power Supplies</t>
  </si>
  <si>
    <t>CHS-GV600-PM</t>
  </si>
  <si>
    <t>4056-2-86</t>
  </si>
  <si>
    <t>12 Months Standard Support and Software Maintenance for Spare Chassis for GigaVUE-2404 without Blades and Power Supplies</t>
  </si>
  <si>
    <t>CHS-GV600-SM</t>
  </si>
  <si>
    <t>4056-2-88</t>
  </si>
  <si>
    <t>Multi-Year Allowance for Advanced Support and Software Maintenance for Spare Chassis for TA1 without Power Supplies</t>
  </si>
  <si>
    <t>CHS-HA100-AS</t>
  </si>
  <si>
    <t>4056-2-89</t>
  </si>
  <si>
    <t>12 Months Premium 24x7 Support and Software Maintenance for Spare Chassis for TA1 without Power Supplies</t>
  </si>
  <si>
    <t>CHS-HA100-PM</t>
  </si>
  <si>
    <t>4056-2-90</t>
  </si>
  <si>
    <t>12 Months Standard Support and Software Maintenance for Spare Chassis for TA1 without Power Supplies</t>
  </si>
  <si>
    <t>CHS-HA100-SM</t>
  </si>
  <si>
    <t>4056-2-92</t>
  </si>
  <si>
    <t>Multi-Year Allowance for Advanced Support and Software Maintenance for Spare Chassis for HB1 without Power Supplies</t>
  </si>
  <si>
    <t>CHS-HB100-AS</t>
  </si>
  <si>
    <t>4056-2-93</t>
  </si>
  <si>
    <t>12 Months Premium 24x7 Support and Software Maintenance for Spare Chassis for HB1 without Power Supplies</t>
  </si>
  <si>
    <t>CHS-HB100-PM</t>
  </si>
  <si>
    <t>4056-2-94</t>
  </si>
  <si>
    <t>12 Months Standard Support and Software Maintenance for Spare Chassis for HB1 without Power Supplies</t>
  </si>
  <si>
    <t>CHS-HB100-SM</t>
  </si>
  <si>
    <t>4056-2-96</t>
  </si>
  <si>
    <t>Multi-Year Allowance for Advanced Support and Software Maintenance for Spare Chassis for HC2 without Modules Control Cards Fans Power Supplies</t>
  </si>
  <si>
    <t>CHS-HC200-AS</t>
  </si>
  <si>
    <t>4056-2-97</t>
  </si>
  <si>
    <t>12 Months Premium 24x7 Support and Software Maintenance for Spare Chassis for HC2 without Modules Control Cards Fans Power Supplies</t>
  </si>
  <si>
    <t>CHS-HC200-PM</t>
  </si>
  <si>
    <t>4056-2-98</t>
  </si>
  <si>
    <t>12 Months Standard Support and Software Maintenance for Spare Chassis for HC2 without Modules Control Cards Fans Power Supplies</t>
  </si>
  <si>
    <t>CHS-HC200-SM</t>
  </si>
  <si>
    <t>4056-2-100</t>
  </si>
  <si>
    <t>Multi-Year Allowance for Advanced Support and Software Maintenance for Spare Chassis for HD4 without Blades Control Card Fans Power Supplies</t>
  </si>
  <si>
    <t>CHS-HD400-AS</t>
  </si>
  <si>
    <t>4056-2-101</t>
  </si>
  <si>
    <t>12 Months Premium 24x7 Support and Software Maintenance for Spare Chassis for HD4 without Blades Control Card Fans Power Supplies</t>
  </si>
  <si>
    <t>CHS-HD400-PM</t>
  </si>
  <si>
    <t>4056-2-102</t>
  </si>
  <si>
    <t>12 Months Standard Support and Software Maintenance for Spare Chassis for HD4 without Blades Control Card Fans Power Supplies</t>
  </si>
  <si>
    <t>CHS-HD400-SM</t>
  </si>
  <si>
    <t>4056-2-104</t>
  </si>
  <si>
    <t>Multi-Year Allowance for Advanced Support and Software Maintenance for Spare Chassis for HD8 without Blades Control Cards Fans Power Supplies</t>
  </si>
  <si>
    <t>CHS-HD800-AS</t>
  </si>
  <si>
    <t>4056-2-105</t>
  </si>
  <si>
    <t>12 Months Premium 24x7 Support and Software Maintenance for Spare Chassis for HD8 without Blades Control Cards Fans Power Supplies</t>
  </si>
  <si>
    <t>CHS-HD800-PM</t>
  </si>
  <si>
    <t>4056-2-106</t>
  </si>
  <si>
    <t>12 Months Standard Support and Software Maintenance for Spare Chassis for HD8 without Blades Control Cards Fans Power Supplies</t>
  </si>
  <si>
    <t>CHS-HD800-SM</t>
  </si>
  <si>
    <t>4056-2-108</t>
  </si>
  <si>
    <t>Multi-Year Allowance for Advanced Support and Software Maintenance for Clustering GigaVUE-TA1 Feature license per node</t>
  </si>
  <si>
    <t>CLS-TA100-AS</t>
  </si>
  <si>
    <t>4056-2-109</t>
  </si>
  <si>
    <t>12 Months Premium 24x7 Support and Software Maintenance for Clustering GigaVUE-TA1 Feature license per node.</t>
  </si>
  <si>
    <t>CLS-TA100-PM</t>
  </si>
  <si>
    <t>4056-2-110</t>
  </si>
  <si>
    <t>12 Months Standard Support and Software Maintenance for Clustering GigaVUE-TA1 Feature license per node.</t>
  </si>
  <si>
    <t>CLS-TA100-SM</t>
  </si>
  <si>
    <t>4056-2-111</t>
  </si>
  <si>
    <t>Multi-Year Allowance for Advanced Support and Software Maintenance for Control Card HD Series each</t>
  </si>
  <si>
    <t>CTL-H00-001-AS</t>
  </si>
  <si>
    <t>4056-2-112</t>
  </si>
  <si>
    <t>12 Months Premium 24x7 Support and Software Maintenance for Control Card HD Series each.</t>
  </si>
  <si>
    <t>CTL-H00-001-PM</t>
  </si>
  <si>
    <t>4056-2-113</t>
  </si>
  <si>
    <t>12 Months Standard Support and Software Maintenance for Control Card HD Series each.</t>
  </si>
  <si>
    <t>CTL-H00-001-SM</t>
  </si>
  <si>
    <t>4056-2-73</t>
  </si>
  <si>
    <t>Multi-Year Allowance for Advanced Support and Software Maintenance for 100 Gig CFP Singlemode LR4</t>
  </si>
  <si>
    <t>CFP-503-AS</t>
  </si>
  <si>
    <t>4056-2-71</t>
  </si>
  <si>
    <t>12 Months Standard Support and Software Maintenance for 100 Gig CFP Multimode SR10</t>
  </si>
  <si>
    <t>CFP-502-SM</t>
  </si>
  <si>
    <t>4056-2-70</t>
  </si>
  <si>
    <t>12 Months Premium 24x7 Support and Software Maintenance for 100 Gig CFP Multimode SR10</t>
  </si>
  <si>
    <t>CFP-502-PM</t>
  </si>
  <si>
    <t>4056-2-69</t>
  </si>
  <si>
    <t>Multi-Year Allowance for Advanced Support and Software Maintenance for 100 Gig CFP Multimode SR10</t>
  </si>
  <si>
    <t>CFP-502-AS</t>
  </si>
  <si>
    <t>4056-2-67</t>
  </si>
  <si>
    <t>12 Months Standard Support and Software Maintenance for Active Fiber cable 50 meters (QSFP approved)</t>
  </si>
  <si>
    <t>CBL-450-SM</t>
  </si>
  <si>
    <t>4056-2-66</t>
  </si>
  <si>
    <t>12 Months Premium 24x7 Support and Software Maintenance for Active Fiber cable 50 meters (QSFP approved)</t>
  </si>
  <si>
    <t>CBL-450-PM</t>
  </si>
  <si>
    <t>4056-2-65</t>
  </si>
  <si>
    <t>Multi-Year Allowance for Advanced Support and Software Maintenance for Active Fiber cable 50 meters (QSFP approved)</t>
  </si>
  <si>
    <t>CBL-450-AS</t>
  </si>
  <si>
    <t>4056-2-63</t>
  </si>
  <si>
    <t>12 Months Standard Support and Software Maintenance for Active Fiber cable 10 meters (QSFP approved)</t>
  </si>
  <si>
    <t>CBL-410-SM</t>
  </si>
  <si>
    <t>4056-2-62</t>
  </si>
  <si>
    <t>12 Months Premium 24x7 Support and Software Maintenance for Active Fiber cable 10 meters (QSFP approved)</t>
  </si>
  <si>
    <t>CBL-410-PM</t>
  </si>
  <si>
    <t>4056-2-61</t>
  </si>
  <si>
    <t>Multi-Year Allowance for Advanced Support and Software Maintenance for Active Fiber cable 10 meters (QSFP approved)</t>
  </si>
  <si>
    <t>CBL-410-AS</t>
  </si>
  <si>
    <t>4056-2-59</t>
  </si>
  <si>
    <t>12 Months Standard Support and Software Maintenance for Active Fiber cable 5 meters (QSFP approved)</t>
  </si>
  <si>
    <t>CBL-405-SM</t>
  </si>
  <si>
    <t>4056-2-58</t>
  </si>
  <si>
    <t>12 Months Premium 24x7 Support and Software Maintenance for Active Fiber cable 5 meters (QSFP approved)</t>
  </si>
  <si>
    <t>CBL-405-PM</t>
  </si>
  <si>
    <t>4056-2-57</t>
  </si>
  <si>
    <t>Multi-Year Allowance for Advanced Support and Software Maintenance for Active Fiber cable 5 meters (QSFP approved)</t>
  </si>
  <si>
    <t>CBL-405-AS</t>
  </si>
  <si>
    <t>4056-2-52</t>
  </si>
  <si>
    <t>12 Months Standard Support and Software Maintenance for SFP+ Active Fiber Cable 10 meters</t>
  </si>
  <si>
    <t>CBL-310-SM</t>
  </si>
  <si>
    <t>4056-2-51</t>
  </si>
  <si>
    <t>12 Months Premium 24x7 Support and Software Maintenance for SFP+ Active Fiber Cable 10 meters</t>
  </si>
  <si>
    <t>CBL-310-PM</t>
  </si>
  <si>
    <t>4056-2-50</t>
  </si>
  <si>
    <t>Multi-Year Allowance for Advanced Support and Software Maintenance for SFP+ Active Fiber Cable 10 meters</t>
  </si>
  <si>
    <t>CBL-310-AS</t>
  </si>
  <si>
    <t>4056-2-48</t>
  </si>
  <si>
    <t>12 Months Standard Support and Software Maintenance for SFP+ to SFP+ Direct Attach Copper cable 10 meters (nrf G-TAP A Series) (EOS)</t>
  </si>
  <si>
    <t>CBL-210-SM</t>
  </si>
  <si>
    <t>4056-2-47</t>
  </si>
  <si>
    <t>12 Months Premium 24x7 Support and Software Maintenance for SFP+ to SFP+ Direct Attach Copper cable 10 meters (nrf G-TAP A Series) (EOS)</t>
  </si>
  <si>
    <t>CBL-210-PM</t>
  </si>
  <si>
    <t>4056-2-46</t>
  </si>
  <si>
    <t>Multi-Year Allowance for Advanced Support and Software Maintenance for SFP+ to SFP+ Direct Attach Copper cable 10 meters (nrf G-TAP A Series) (EOS)</t>
  </si>
  <si>
    <t>CBL-210-AS</t>
  </si>
  <si>
    <t>4056-2-44</t>
  </si>
  <si>
    <t>12 Months Standard Support and Software Maintenance for SFP+ to SFP+ Direct Attach Copper cable 5 meters</t>
  </si>
  <si>
    <t>CBL-205-SM</t>
  </si>
  <si>
    <t>4056-2-43</t>
  </si>
  <si>
    <t>12 Months Premium 24x7 Support and Software Maintenance for SFP+ to SFP+ Direct Attach Copper cable 5 meters</t>
  </si>
  <si>
    <t>CBL-205-PM</t>
  </si>
  <si>
    <t>4056-2-42</t>
  </si>
  <si>
    <t>Multi-Year Allowance for Advanced Support and Software Maintenance for SFP+ to SFP+ Direct Attach Copper cable 5 meters</t>
  </si>
  <si>
    <t>CBL-205-AS</t>
  </si>
  <si>
    <t>4056-2-23</t>
  </si>
  <si>
    <t>12 Months Premium 24x7 Support and Software Maintenance for Bypass Combo Module HC Series 4 SX/SR 50/125 BPS pairs 16 10G cages</t>
  </si>
  <si>
    <t>BPS-HC0-D25A4G-PM</t>
  </si>
  <si>
    <t>4056-2-22</t>
  </si>
  <si>
    <t>Multi-Year Allowance for Advanced Support and Software Maintenance for Bypass Combo Module HC Series 4 SX/SR 50/125 BPS pairs 16 10G cages</t>
  </si>
  <si>
    <t>BPS-HC0-D25A4G-AS</t>
  </si>
  <si>
    <t>4056-2-20</t>
  </si>
  <si>
    <t>12 Months Standard Support and Software Maintenance for 10GigaBPS-2LR in-line bypass module for GigaVUE-2404 (Special Order)</t>
  </si>
  <si>
    <t>BPS-GV6-X30020-SM</t>
  </si>
  <si>
    <t>4056-2-19</t>
  </si>
  <si>
    <t>12 Months Premium 24x7 Support and Software Maintenance for 10GigaBPS-2LR in-line bypass module for GigaVUE-2404 (Special Order)</t>
  </si>
  <si>
    <t>BPS-GV6-X30020-PM</t>
  </si>
  <si>
    <t>4056-2-18</t>
  </si>
  <si>
    <t>Multi-Year Allowance for Advanced Support and Software Maintenance for 10GigaBPS-2LR in-line bypass module for GigaVUE-2404 (Special Order)</t>
  </si>
  <si>
    <t>BPS-GV6-X30020-AS</t>
  </si>
  <si>
    <t>4056-2-16</t>
  </si>
  <si>
    <t>12 Months Standard Support and Software Maintenance for 10GigaBPS-2SR in-line bypass module for GigaVUE-2404</t>
  </si>
  <si>
    <t>BPS-GV6-X20020-SM</t>
  </si>
  <si>
    <t>4056-2-15</t>
  </si>
  <si>
    <t>12 Months Premium 24x7 Support and Software Maintenance for 10GigaBPS-2SR in-line bypass module for GigaVUE-2404</t>
  </si>
  <si>
    <t>BPS-GV6-X20020-PM</t>
  </si>
  <si>
    <t>4056-2-14</t>
  </si>
  <si>
    <t>Multi-Year Allowance for Advanced Support and Software Maintenance for 10GigaBPS-2SR in-line bypass module for GigaVUE-2404</t>
  </si>
  <si>
    <t>BPS-GV6-X20020-AS</t>
  </si>
  <si>
    <t>4056-2-12</t>
  </si>
  <si>
    <t>12 Months Standard Support and Software Maintenance for 1GigaBPS-2LX in-line bypass module for GigaVUE-2404 (Special Order)</t>
  </si>
  <si>
    <t>BPS-GV6-G30020-SM</t>
  </si>
  <si>
    <t>4056-2-11</t>
  </si>
  <si>
    <t>12 Months Premium 24x7 Support and Software Maintenance for 1GigaBPS-2LX in-line bypass module for GigaVUE-2404 (Special Order)</t>
  </si>
  <si>
    <t>BPS-GV6-G30020-PM</t>
  </si>
  <si>
    <t>4056-2-10</t>
  </si>
  <si>
    <t>Multi-Year Allowance for Advanced Support and Software Maintenance for 1GigaBPS-2LX in-line bypass module for GigaVUE-2404 (Special Order)</t>
  </si>
  <si>
    <t>BPS-GV6-G30020-AS</t>
  </si>
  <si>
    <t>4056-2-8</t>
  </si>
  <si>
    <t>12 Months Standard Support and Software Maintenance for 1GigaBPS-2SX in-line bypass module for GigaVUE-2404</t>
  </si>
  <si>
    <t>BPS-GV6-G20020-SM</t>
  </si>
  <si>
    <t>4056-2-7</t>
  </si>
  <si>
    <t>12 Months Premium 24x7 Support and Software Maintenance for 1GigaBPS-2SX in-line bypass module for GigaVUE-2404</t>
  </si>
  <si>
    <t>BPS-GV6-G20020-PM</t>
  </si>
  <si>
    <t>4056-2-6</t>
  </si>
  <si>
    <t>Multi-Year Allowance for Advanced Support and Software Maintenance for 1GigaBPS-2SX in-line bypass module for GigaVUE-2404</t>
  </si>
  <si>
    <t>BPS-GV6-G20020-AS</t>
  </si>
  <si>
    <t>4056-2-4</t>
  </si>
  <si>
    <t>12 Months Standard Support and Software Maintenance for Battery Pack G-TAP A Series</t>
  </si>
  <si>
    <t>BAT-GTA00-SM</t>
  </si>
  <si>
    <t>4056-2-3</t>
  </si>
  <si>
    <t>12 Months Premium 24x7 Support and Software Maintenance for Battery Pack G-TAP A Series</t>
  </si>
  <si>
    <t>BAT-GTA00-PM</t>
  </si>
  <si>
    <t>4056-2-2</t>
  </si>
  <si>
    <t>Multi-Year Allowance for Advanced Support and Software Maintenance for Battery Pack G-TAP A Series</t>
  </si>
  <si>
    <t>BAT-GTA00-AS</t>
  </si>
  <si>
    <t>4056-2-1435</t>
  </si>
  <si>
    <t>12 Months Premium 24x7 Upgrade for TAP and Bypass module, GigaVUE-HC1, 10/100/1000M Copper, 4 TAPs or BPC pairs</t>
  </si>
  <si>
    <t>TAP-HC1-G10040-U</t>
  </si>
  <si>
    <t>4056-2-1419</t>
  </si>
  <si>
    <t>Multi-Year Allowance for Advanced Support and Software Maintenance for GigaSMART, GigaVUE-HC1 license, Header Stripping feature</t>
  </si>
  <si>
    <t>SMT-HC1-HS1-AS</t>
  </si>
  <si>
    <t>4056-2-1418</t>
  </si>
  <si>
    <t>12 Months Premium 24x7 Support and Software Maintenance for GigaSMART, GigaVUE-HC1 license, Header Stripping feature.</t>
  </si>
  <si>
    <t>SMT-HC1-HS1-PM</t>
  </si>
  <si>
    <t>4056-2-1417</t>
  </si>
  <si>
    <t>12 Months Standard Support and Software Maintenance for GigaSMART, GigaVUE-HC1 license, Header Stripping feature.</t>
  </si>
  <si>
    <t>SMT-HC1-HS1-SM</t>
  </si>
  <si>
    <t>SMT-HC1-HS1-2-2a</t>
  </si>
  <si>
    <t>GigaSMART, GigaVUE-HC1 license, Header Stripping feature</t>
  </si>
  <si>
    <t>SMT-HC1-HS1</t>
  </si>
  <si>
    <t>4056-2-1415</t>
  </si>
  <si>
    <t>12 Months Premium 24x7 Upgrade for GigaSMART, GigaVUE-HC1 license, De-Duplication feature.</t>
  </si>
  <si>
    <t>SMT-HC1-DD1-U</t>
  </si>
  <si>
    <t>4056-2-1414</t>
  </si>
  <si>
    <t>Multi-Year Allowance for Advanced Support and Software Maintenance for GigaSMART, GigaVUE-HC1 license, De-Duplication feature</t>
  </si>
  <si>
    <t>SMT-HC1-DD1-AS</t>
  </si>
  <si>
    <t>4056-2-1413</t>
  </si>
  <si>
    <t>12 Months Premium 24x7 Support and Software Maintenance for GigaSMART, GigaVUE-HC1 license, De-Duplication feature.</t>
  </si>
  <si>
    <t>SMT-HC1-DD1-PM</t>
  </si>
  <si>
    <t>4056-2-1412</t>
  </si>
  <si>
    <t>12 Months Standard Support and Software Maintenance for GigaSMART, GigaVUE-HC1 license, De-Duplication feature.</t>
  </si>
  <si>
    <t>SMT-HC1-DD1-SM</t>
  </si>
  <si>
    <t>SMT-HC1-DD1-2-2a</t>
  </si>
  <si>
    <t>GigaSMART, GigaVUE-HC1 license, De-Duplication feature</t>
  </si>
  <si>
    <t>SMT-HC1-DD1</t>
  </si>
  <si>
    <t>4056-2-1410</t>
  </si>
  <si>
    <t>12 Months Premium 24x7 Upgrade for GigaSMART, GigaVUE-HC1 license combo, includes Slicing, Masking, &amp; Source Port features.</t>
  </si>
  <si>
    <t>SMT-HC1-BSE-U</t>
  </si>
  <si>
    <t>4056-2-1409</t>
  </si>
  <si>
    <t>Multi-Year Allowance for Advanced Support and Software Maintenance for GigaSMART, GigaVUE-HC1 license combo, includes Slicing, Masking, &amp; Source Port features</t>
  </si>
  <si>
    <t>SMT-HC1-BSE-AS</t>
  </si>
  <si>
    <t>4056-2-1408</t>
  </si>
  <si>
    <t>12 Months Premium 24x7 Support and Software Maintenance for GigaSMART, GigaVUE-HC1 license combo, includes Slicing, Masking, &amp; Source Port features.</t>
  </si>
  <si>
    <t>SMT-HC1-BSE-PM</t>
  </si>
  <si>
    <t>4056-2-1407</t>
  </si>
  <si>
    <t>12 Months Standard Support and Software Maintenance for GigaSMART, GigaVUE-HC1 license combo, includes Slicing, Masking, &amp; Source Port features.</t>
  </si>
  <si>
    <t>SMT-HC1-BSE-SM</t>
  </si>
  <si>
    <t>SMT-HC1-BSE-2-2a</t>
  </si>
  <si>
    <t>GigaSMART, GigaVUE-HC1 license combo, includes Slicing, Masking, &amp; Source Port features</t>
  </si>
  <si>
    <t>SMT-HC1-BSE</t>
  </si>
  <si>
    <t>4056-2-1405</t>
  </si>
  <si>
    <t>12 Months Premium 24x7 Upgrade for GigaVUE-HC1 node, 12 1G/10G cages, 4 10/100/1000M Copper, fan tray, 2 power supplies, DC power</t>
  </si>
  <si>
    <t>GVS-HC102-U</t>
  </si>
  <si>
    <t>4056-2-1404</t>
  </si>
  <si>
    <t>Multi-Year Allowance for Advanced Support and Software Maintenance for GigaVUE-HC1 node, 12 1G/10G cages, 4 10/100/1000M Copper, fan tray, 2 power supplies, DC power</t>
  </si>
  <si>
    <t>GVS-HC102-AS</t>
  </si>
  <si>
    <t>4056-2-1403</t>
  </si>
  <si>
    <t>12 Months Premium 24x7 Support and Software Maintenance for GigaVUE-HC1 node, 12 1G/10G cages, 4 10/100/1000M Copper, fan tray, 2 power supplies, DC power</t>
  </si>
  <si>
    <t>GVS-HC102-PM</t>
  </si>
  <si>
    <t>4056-2-1402</t>
  </si>
  <si>
    <t>12 Months Standard Support and Software Maintenance for GigaVUE-HC1 node, 12 1G/10G cages, 4 10/100/1000M Copper, fan tray, 2 power supplies, DC power</t>
  </si>
  <si>
    <t>GVS-HC102-SM</t>
  </si>
  <si>
    <t>GVS-HC102-2-2a</t>
  </si>
  <si>
    <t>GigaVUE-HC1 chassis, 12 1G/10G cages, 4 10/100/1000M Copper, fan tray, 2 power supplies, DC power</t>
  </si>
  <si>
    <t>GVS-HC102</t>
  </si>
  <si>
    <t>4056-2-1400</t>
  </si>
  <si>
    <t>12 Months Premium 24x7 Upgrade for GigaVUE-HC1 node, 12 1G/10G cages, 4 10/100/1000M Copper, fan tray, 2 power supplies, AC power</t>
  </si>
  <si>
    <t>GVS-HC101-U</t>
  </si>
  <si>
    <t>4056-2-1399</t>
  </si>
  <si>
    <t>Multi-Year Allowance for Advanced Support and Software Maintenance for GigaVUE-HC1 node, 12 1G/10G cages, 4 10/100/1000M Copper, fan tray, 2 power supplies, AC power</t>
  </si>
  <si>
    <t>GVS-HC101-AS</t>
  </si>
  <si>
    <t>4056-2-1398</t>
  </si>
  <si>
    <t>12 Months Premium 24x7 Support and Software Maintenance for GigaVUE-HC1 node, 12 1G/10G cages, 4 10/100/1000M Copper, fan tray, 2 power supplies, AC power</t>
  </si>
  <si>
    <t>GVS-HC101-PM</t>
  </si>
  <si>
    <t>4056-2-1397</t>
  </si>
  <si>
    <t>12 Months Standard Support and Software Maintenance for GigaVUE-HC1 node, 12 1G/10G cages, 4 10/100/1000M Copper, fan tray, 2 power supplies, AC power</t>
  </si>
  <si>
    <t>GVS-HC101-SM</t>
  </si>
  <si>
    <t>GVS-HC101-2-2a</t>
  </si>
  <si>
    <t>GigaVUE-HC1 chassis, 12 1G/10G cages, 4 10/100/1000M Copper, fan tray, 2 power supplies, AC power</t>
  </si>
  <si>
    <t>GVS-HC101</t>
  </si>
  <si>
    <t>4056-2-1355</t>
  </si>
  <si>
    <t>12 Months Premium 24x7 Upgrade for Port Blade, HD Series, 6x100G QSFP28 cages + 24x10G cages</t>
  </si>
  <si>
    <t>GIG PRT-HD0-C06X24-U:</t>
  </si>
  <si>
    <t>4056-2-1354</t>
  </si>
  <si>
    <t>Multi-Year Allowance for Advanced Support and Software Maintenance for Port Blade, HD Series, 6x100G QSFP28 cages + 24x10G cages</t>
  </si>
  <si>
    <t>GIG PRT-HD0-C06X24-AS:</t>
  </si>
  <si>
    <t>4056-2-1353</t>
  </si>
  <si>
    <t>12 Months Premium 24x7 Support and Software Maintenance for Port Blade, HD Series, 6x100G QSFP28 cages + 24x10G cages</t>
  </si>
  <si>
    <t>GIG PRT-HD0-C06X24-PM:</t>
  </si>
  <si>
    <t>4056-2-1352</t>
  </si>
  <si>
    <t>12 Months Standard Support and Software Maintenance for Port Blade, HD Series, 6x100G QSFP28 cages + 24x10G cages</t>
  </si>
  <si>
    <t>GIG PRT-HD0-C06X24-SM:</t>
  </si>
  <si>
    <t>4056-2-1335</t>
  </si>
  <si>
    <t>GigaVUE-TA10 edge node, 4 40G cages + 48 10G cages, 2 power supplies, 2 Fan trays, DC power-Premium Support</t>
  </si>
  <si>
    <t>GVS-TAX02-PS</t>
  </si>
  <si>
    <t>4056-2-1334</t>
  </si>
  <si>
    <t>GigaVUE-TA10 edge node, 4 40G cages + 48 10G cages, 2 power supplies, 2 Fan trays, DC power-Standard Support</t>
  </si>
  <si>
    <t>GVS-TAX02-SS</t>
  </si>
  <si>
    <t>4056-2-1333</t>
  </si>
  <si>
    <t>GigaVUE-TA10 edge node, 4 40G cages + 48 10G cages, 2 power supplies, 2 Fan trays, AC power- premium support</t>
  </si>
  <si>
    <t>GVS-TAX01 -SS</t>
  </si>
  <si>
    <t>4056-2-115</t>
  </si>
  <si>
    <t>Multi-Year Allowance for Advanced Support and Software Maintenance for Control Card HC Series each</t>
  </si>
  <si>
    <t>CTL-HC0-001-AS</t>
  </si>
  <si>
    <t>4056-2-116</t>
  </si>
  <si>
    <t>12 Months Premium 24x7 Support and Software Maintenance for Control Card HC Series each.</t>
  </si>
  <si>
    <t>CTL-HC0-001-PM</t>
  </si>
  <si>
    <t>4056-2-117</t>
  </si>
  <si>
    <t>12 Months Standard Support and Software Maintenance for Control Card HC Series each.</t>
  </si>
  <si>
    <t>CTL-HC0-001-SM</t>
  </si>
  <si>
    <t>4056-2-119</t>
  </si>
  <si>
    <t>Multi-Year Allowance for Advanced Support and Software Maintenance for Control Card Version 2 HD Series each</t>
  </si>
  <si>
    <t>CTL-HD0-002-AS</t>
  </si>
  <si>
    <t>4056-2-120</t>
  </si>
  <si>
    <t>12 Months Premium 24x7 Support and Software Maintenance for Control Card Version 2 HD Series each.</t>
  </si>
  <si>
    <t>CTL-HD0-002-PM</t>
  </si>
  <si>
    <t>4056-2-121</t>
  </si>
  <si>
    <t>12 Months Standard Support and Software Maintenance for Control Card Version 2 HD Series each.</t>
  </si>
  <si>
    <t>CTL-HD0-002-SM</t>
  </si>
  <si>
    <t>4056-2-123</t>
  </si>
  <si>
    <t>Multi-Year Allowance for Advanced Support and Software Maintenance for GigaVUE -2404 Fan Assembly High Speed each (2 required) (Special Order)</t>
  </si>
  <si>
    <t>FAN-GV60S-AS</t>
  </si>
  <si>
    <t>4056-2-124</t>
  </si>
  <si>
    <t>12 Months Premium 24x7 Support and Software Maintenance for GigaVUE -2404 Fan Assembly High Speed each (2 required) (Special Order)</t>
  </si>
  <si>
    <t>FAN-GV60S-PM</t>
  </si>
  <si>
    <t>4056-2-125</t>
  </si>
  <si>
    <t>12 Months Standard Support and Software Maintenance for GigaVUE -2404 Fan Assembly High Speed each (2 required) (Special Order)</t>
  </si>
  <si>
    <t>FAN-GV60S-SM</t>
  </si>
  <si>
    <t>4056-2-127</t>
  </si>
  <si>
    <t>Multi-Year Allowance for Advanced Support and Software Maintenance for GigaVUE-HB1 Fan Assembly each (2 required)</t>
  </si>
  <si>
    <t>FAN-HB100-AS</t>
  </si>
  <si>
    <t>4056-2-128</t>
  </si>
  <si>
    <t>12 Months Premium 24x7 Support and Software Maintenance for GigaVUE-HB1 Fan Assembly each (2 required)</t>
  </si>
  <si>
    <t>FAN-HB100-PM</t>
  </si>
  <si>
    <t>4056-2-129</t>
  </si>
  <si>
    <t>12 Months Standard Support and Software Maintenance for GigaVUE-HB1 Fan Assembly each (2 required)</t>
  </si>
  <si>
    <t>FAN-HB100-SM</t>
  </si>
  <si>
    <t>4056-2-131</t>
  </si>
  <si>
    <t>Multi-Year Allowance for Advanced Support and Software Maintenance for GigaVUE-HC2 Fan Assembly each (1 required)</t>
  </si>
  <si>
    <t>FAN-HC200-AS</t>
  </si>
  <si>
    <t>4056-2-132</t>
  </si>
  <si>
    <t>12 Months Premium 24x7 Support and Software Maintenance for GigaVUE-HC2 Fan Assembly each (1 required)</t>
  </si>
  <si>
    <t>FAN-HC200-PM</t>
  </si>
  <si>
    <t>4056-2-133</t>
  </si>
  <si>
    <t>12 Months Standard Support and Software Maintenance for GigaVUE-HC2 Fan Assembly each (1 required)</t>
  </si>
  <si>
    <t>FAN-HC200-SM</t>
  </si>
  <si>
    <t>4056-2-135</t>
  </si>
  <si>
    <t>Multi-Year Allowance for Advanced Support and Software Maintenance for GigaVUE-HD4 Fan Assembly each (2 required)</t>
  </si>
  <si>
    <t>FAN-HD400-AS</t>
  </si>
  <si>
    <t>4056-2-136</t>
  </si>
  <si>
    <t>12 Months Premium 24x7 Support and Software Maintenance for GigaVUE-HD4 Fan Assembly each (2 required)</t>
  </si>
  <si>
    <t>FAN-HD400-PM</t>
  </si>
  <si>
    <t>4056-2-137</t>
  </si>
  <si>
    <t>12 Months Standard Support and Software Maintenance for GigaVUE-HD4 Fan Assembly each (2 required)</t>
  </si>
  <si>
    <t>FAN-HD400-SM</t>
  </si>
  <si>
    <t>4056-2-139</t>
  </si>
  <si>
    <t>Multi-Year Allowance for Advanced Support and Software Maintenance for GigaVUE-HD8 Fan Assembly</t>
  </si>
  <si>
    <t>FAN-HD800-AS</t>
  </si>
  <si>
    <t>4056-2-140</t>
  </si>
  <si>
    <t>12 Months Premium 24x7 Support and Software Maintenance for GigaVUE-HD8 Fan Assembly</t>
  </si>
  <si>
    <t>FAN-HD800-PM</t>
  </si>
  <si>
    <t>4056-2-141</t>
  </si>
  <si>
    <t>12 Months Standard Support and Software Maintenance for GigaVUE-HD8 Fan Assembly</t>
  </si>
  <si>
    <t>FAN-HD800-SM</t>
  </si>
  <si>
    <t>4056-2-143</t>
  </si>
  <si>
    <t>Multi-Year Allowance for Advanced Support and Software Maintenance for GigaVUE-HD8 Fan Assembly S Style (Special Order)</t>
  </si>
  <si>
    <t>FAN-HD80S-AS</t>
  </si>
  <si>
    <t>4056-2-144</t>
  </si>
  <si>
    <t>12 Months Premium 24x7 Support and Software Maintenance for GigaVUE-HD8 Fan Assembly S Style (Special Order)</t>
  </si>
  <si>
    <t>FAN-HD80S-PM</t>
  </si>
  <si>
    <t>4056-2-145</t>
  </si>
  <si>
    <t>12 Months Standard Support and Software Maintenance for GigaVUE-HD8 Fan Assembly S Style (Special Order)</t>
  </si>
  <si>
    <t>FAN-HD80S-SM</t>
  </si>
  <si>
    <t>4056-2-147</t>
  </si>
  <si>
    <t>Multi-Year Allowance for Advanced Support and Software Maintenance for GigaVUE-TA1 Fan Assembly each (2 required)</t>
  </si>
  <si>
    <t>FAN-TA100-AS</t>
  </si>
  <si>
    <t>4056-2-148</t>
  </si>
  <si>
    <t>12 Months Premium 24x7 Support and Software Maintenance for GigaVUE-TA1 Fan Assembly each (2 required)</t>
  </si>
  <si>
    <t>FAN-TA100-PM</t>
  </si>
  <si>
    <t>4056-2-149</t>
  </si>
  <si>
    <t>12 Months Standard Support and Software Maintenance for GigaVUE-TA1 Fan Assembly each (2 required)</t>
  </si>
  <si>
    <t>FAN-TA100-SM</t>
  </si>
  <si>
    <t>4056-2-151</t>
  </si>
  <si>
    <t>Multi-Year Allowance for Advanced Support and Software Maintenance for GigaVUE-HD4 Filter Assembly</t>
  </si>
  <si>
    <t>FIL-HD400-AS</t>
  </si>
  <si>
    <t>4056-2-343</t>
  </si>
  <si>
    <t>Multi-Year Allowance for Advanced Support and Software Maintenance for Power Cord JP plug</t>
  </si>
  <si>
    <t>PCD-00009-AS</t>
  </si>
  <si>
    <t>4056-2-344</t>
  </si>
  <si>
    <t>12 Months Premium 24x7 Support and Software Maintenance for Power Cord JP plug</t>
  </si>
  <si>
    <t>PCD-00009-PM</t>
  </si>
  <si>
    <t>4056-2-345</t>
  </si>
  <si>
    <t>12 Months Standard Support and Software Maintenance for Power Cord JP plug</t>
  </si>
  <si>
    <t>PCD-00009-SM</t>
  </si>
  <si>
    <t>4056-2-347</t>
  </si>
  <si>
    <t>Multi-Year Allowance for Advanced Support and Software Maintenance for Spare Power Cord right angle 125VAC (recommended for GigaVUE HD Series)</t>
  </si>
  <si>
    <t>PCD-000R1-AS</t>
  </si>
  <si>
    <t>4056-2-348</t>
  </si>
  <si>
    <t>12 Months Premium 24x7 Support and Software Maintenance for Spare Power Cord right angle 125VAC (recommended for GigaVUE HD Series)</t>
  </si>
  <si>
    <t>PCD-000R1-PM</t>
  </si>
  <si>
    <t>4056-2-349</t>
  </si>
  <si>
    <t>12 Months Standard Support and Software Maintenance for Spare Power Cord right angle 125VAC (recommended for GigaVUE HD Series)</t>
  </si>
  <si>
    <t>PCD-000R1-SM</t>
  </si>
  <si>
    <t>4056-2-351</t>
  </si>
  <si>
    <t>Multi-Year Allowance for Advanced Support and Software Maintenance for Power Cord right angle EU plug (recommended for GigaVUE HD Series)</t>
  </si>
  <si>
    <t>PCD-000R3-AS</t>
  </si>
  <si>
    <t>4056-2-352</t>
  </si>
  <si>
    <t>12 Months Premium 24x7 Support and Software Maintenance for Power Cord right angle EU plug (recommended for GigaVUE HD Series)</t>
  </si>
  <si>
    <t>PCD-000R3-PM</t>
  </si>
  <si>
    <t>4056-2-353</t>
  </si>
  <si>
    <t>12 Months Standard Support and Software Maintenance for Power Cord right angle EU plug (recommended for GigaVUE HD Series)</t>
  </si>
  <si>
    <t>PCD-000R3-SM</t>
  </si>
  <si>
    <t>4056-2-355</t>
  </si>
  <si>
    <t>Multi-Year Allowance for Advanced Support and Software Maintenance for Power Cord right angle UK plug (recommended for GigaVUE HD Series)</t>
  </si>
  <si>
    <t>PCD-000R5-AS</t>
  </si>
  <si>
    <t>4056-2-356</t>
  </si>
  <si>
    <t>12 Months Premium 24x7 Support and Software Maintenance for Power Cord right angle UK plug (recommended for GigaVUE HD Series)</t>
  </si>
  <si>
    <t>PCD-000R5-PM</t>
  </si>
  <si>
    <t>4056-2-357</t>
  </si>
  <si>
    <t>12 Months Standard Support and Software Maintenance for Power Cord right angle UK plug (recommended for GigaVUE HD Series)</t>
  </si>
  <si>
    <t>PCD-000R5-SM</t>
  </si>
  <si>
    <t>4056-2-359</t>
  </si>
  <si>
    <t>Multi-Year Allowance for Advanced Support and Software Maintenance for Power Cord right angle AU plug (recommended for GigaVUE HD Series)</t>
  </si>
  <si>
    <t>PCD-000R7-AS</t>
  </si>
  <si>
    <t>4056-2-360</t>
  </si>
  <si>
    <t>12 Months Premium 24x7 Support and Software Maintenance for Power Cord right angle AU plug (recommended for GigaVUE HD Series)</t>
  </si>
  <si>
    <t>PCD-000R7-PM</t>
  </si>
  <si>
    <t>4056-2-361</t>
  </si>
  <si>
    <t>12 Months Standard Support and Software Maintenance for Power Cord right angle AU plug (recommended for GigaVUE HD Series)</t>
  </si>
  <si>
    <t>PCD-000R7-SM</t>
  </si>
  <si>
    <t>4056-2-363</t>
  </si>
  <si>
    <t>Multi-Year Allowance for Advanced Support and Software Maintenance for Power Cord right angle JP plug (recommended for GigaVUE HD Series)</t>
  </si>
  <si>
    <t>PCD-000R9-AS</t>
  </si>
  <si>
    <t>4056-2-408</t>
  </si>
  <si>
    <t>12 Months Premium 24x7 Support and Software Maintenance for Power Cord right angle JP plug (recommended for GigaVUE HD Series)</t>
  </si>
  <si>
    <t>PCD-000R9-PM</t>
  </si>
  <si>
    <t>4056-2-409</t>
  </si>
  <si>
    <t>12 Months Standard Support and Software Maintenance for Power Cord right angle JP plug (recommended for GigaVUE HD Series)</t>
  </si>
  <si>
    <t>PCD-000R9-SM</t>
  </si>
  <si>
    <t>4056-2-411</t>
  </si>
  <si>
    <t>Multi-Year Allowance for Advanced Support and Software Maintenance for Patch Panel Optical4xMPO to 16xLC-Duplex MultiMode (for use with GigaVUE-TA1)</t>
  </si>
  <si>
    <t>PNL-0MMA0-AS</t>
  </si>
  <si>
    <t>4056-2-412</t>
  </si>
  <si>
    <t>12 Months Premium 24x7 Support and Software Maintenance for Patch Panel Optical4xMPO to 16xLC-Duplex MultiMode (for use with GigaVUE-TA1)</t>
  </si>
  <si>
    <t>PNL-0MMA0-PM</t>
  </si>
  <si>
    <t>4056-2-413</t>
  </si>
  <si>
    <t>12 Months Standard Support and Software Maintenance for Patch Panel Optical4xMPO to 16xLC-Duplex MultiMode (for use with GigaVUE-TA1)</t>
  </si>
  <si>
    <t>PNL-0MMA0-SM</t>
  </si>
  <si>
    <t>4056-2-414</t>
  </si>
  <si>
    <t>Multi-Year Allowance for Advanced Support and Software Maintenance for GigaPORT-SFP 4x1G SFP cage expansion module for 212 chassis</t>
  </si>
  <si>
    <t>PRT-202-AS</t>
  </si>
  <si>
    <t>4056-2-415</t>
  </si>
  <si>
    <t>12 Months Premium 24x7 Support and Software Maintenance for GigaPORT-SFP 4x1G SFP cage expansion module for 212 chassis</t>
  </si>
  <si>
    <t>PRT-202-PM</t>
  </si>
  <si>
    <t>4056-2-416</t>
  </si>
  <si>
    <t>12 Months Standard Support and Software Maintenance for GigaPORT-SFP 4x1G SFP cage expansion module for 212 chassis</t>
  </si>
  <si>
    <t>PRT-202-SM</t>
  </si>
  <si>
    <t>4056-2-418</t>
  </si>
  <si>
    <t>Multi-Year Allowance for Advanced Support and Software Maintenance for GigaPORT 4 port expansion module</t>
  </si>
  <si>
    <t>PRT-400-AS</t>
  </si>
  <si>
    <t>4056-2-419</t>
  </si>
  <si>
    <t>12 Months Premium 24x7 Support and Software Maintenance for GigaPORT 4 port expansion module</t>
  </si>
  <si>
    <t>PRT-400-PM</t>
  </si>
  <si>
    <t>4056-2-420</t>
  </si>
  <si>
    <t>12 Months Standard Support and Software Maintenance for GigaPORT 4 port expansion module</t>
  </si>
  <si>
    <t>PRT-400-SM</t>
  </si>
  <si>
    <t>4056-2-422</t>
  </si>
  <si>
    <t>Multi-Year Allowance for Advanced Support and Software Maintenance for 10 GigaPORT-5X3C 5x10G fiber SFP+ plus 3xCX4 copper port expansion blade for GigaVUE-2404 (Special Order)</t>
  </si>
  <si>
    <t>PRT-435-AS</t>
  </si>
  <si>
    <t>4056-2-152</t>
  </si>
  <si>
    <t>12 Months Premium 24x7 Support and Software Maintenance for GigaVUE-HD4 Filter Assembly</t>
  </si>
  <si>
    <t>FIL-HD400-PM</t>
  </si>
  <si>
    <t>4056-2-153</t>
  </si>
  <si>
    <t>12 Months Standard Support and Software Maintenance for GigaVUE-HD4 Filter Assembly</t>
  </si>
  <si>
    <t>FIL-HD400-SM</t>
  </si>
  <si>
    <t>4056-2-155</t>
  </si>
  <si>
    <t>Multi-Year Allowance for Advanced Support and Software Maintenance for GigaVUE-HD8 Filter Assembly</t>
  </si>
  <si>
    <t>FIL-HD800-AS</t>
  </si>
  <si>
    <t>4056-2-156</t>
  </si>
  <si>
    <t>12 Months Premium 24x7 Support and Software Maintenance for GigaVUE-HD8 Filter Assembly</t>
  </si>
  <si>
    <t>FIL-HD800-PM</t>
  </si>
  <si>
    <t>4056-2-157</t>
  </si>
  <si>
    <t>12 Months Standard Support and Software Maintenance for GigaVUE-HD8 Filter Assembly</t>
  </si>
  <si>
    <t>FIL-HD800-SM</t>
  </si>
  <si>
    <t>4056-2-159</t>
  </si>
  <si>
    <t>Multi-Year Allowance for Advanced Support and Software Maintenance for GigaVUE Fabric Manager (FM) Centralized Management SW Base License</t>
  </si>
  <si>
    <t>GFM-FM000-AS</t>
  </si>
  <si>
    <t>4056-2-160</t>
  </si>
  <si>
    <t>12 Months Premium 24x7 Support and Software Maintenance for GigaVUE Fabric Manager (FM) Centralized Management SW Base License.</t>
  </si>
  <si>
    <t>GFM-FM000-PM</t>
  </si>
  <si>
    <t>4056-2-161</t>
  </si>
  <si>
    <t>12 Months Standard Support and Software Maintenance for GigaVUE Fabric Manager (FM) Centralized Management SW Base License.</t>
  </si>
  <si>
    <t>GFM-FM000-SM</t>
  </si>
  <si>
    <t>4056-2-163</t>
  </si>
  <si>
    <t>Multi-Year Allowance for Advanced Support and Software Maintenance for GigaVUE-VM 10 Pack Bundle SW License Extension</t>
  </si>
  <si>
    <t>GFM-VM010-AS</t>
  </si>
  <si>
    <t>4056-2-164</t>
  </si>
  <si>
    <t>12 Months Premium 24x7 Support and Software Maintenance for GigaVUE-VM 10 Pack Bundle SW License Extension.</t>
  </si>
  <si>
    <t>GFM-VM010-PM</t>
  </si>
  <si>
    <t>4056-2-165</t>
  </si>
  <si>
    <t>12 Months Standard Support and Software Maintenance for GigaVUE-VM 10 Pack Bundle SW License Extension.</t>
  </si>
  <si>
    <t>GFM-VM010-SM</t>
  </si>
  <si>
    <t>4056-2-167</t>
  </si>
  <si>
    <t>Multi-Year Allowance for Advanced Support and Software Maintenance for GigaVUE-VM 50 Pack Bundle SW License Extension</t>
  </si>
  <si>
    <t>GFM-VM050-AS</t>
  </si>
  <si>
    <t>4056-2-168</t>
  </si>
  <si>
    <t>12 Months Premium 24x7 Support and Software Maintenance for GigaVUE-VM 50 Pack Bundle SW License Extension.</t>
  </si>
  <si>
    <t>GFM-VM050-PM</t>
  </si>
  <si>
    <t>4056-2-169</t>
  </si>
  <si>
    <t>12 Months Standard Support and Software Maintenance for GigaVUE-VM 50 Pack Bundle SW License Extension.</t>
  </si>
  <si>
    <t>GFM-VM050-SM</t>
  </si>
  <si>
    <t>4056-2-171</t>
  </si>
  <si>
    <t>Multi-Year Allowance for Advanced Support and Software Maintenance for GigaVUE-VM 100 Pack Bundle SW License Extension</t>
  </si>
  <si>
    <t>GFM-VM100-AS</t>
  </si>
  <si>
    <t>4056-2-172</t>
  </si>
  <si>
    <t>12 Months Premium 24x7 Support and Software Maintenance for GigaVUE-VM 100 Pack Bundle SW License Extension.</t>
  </si>
  <si>
    <t>GFM-VM100-PM</t>
  </si>
  <si>
    <t>4056-2-173</t>
  </si>
  <si>
    <t>12 Months Standard Support and Software Maintenance for GigaVUE-VM 100 Pack Bundle SW License Extension.</t>
  </si>
  <si>
    <t>GFM-VM100-SM</t>
  </si>
  <si>
    <t>4056-2-175</t>
  </si>
  <si>
    <t>Multi-Year Allowance for Advanced Support and Software Maintenance for GigaVUE-VM 250 Pack Bundle SW License Extension</t>
  </si>
  <si>
    <t>GFM-VM250-AS</t>
  </si>
  <si>
    <t>4056-2-176</t>
  </si>
  <si>
    <t>12 Months Premium 24x7 Support and Software Maintenance for GigaVUE-VM 250 Pack Bundle SW License Extension.</t>
  </si>
  <si>
    <t>GFM-VM250-PM</t>
  </si>
  <si>
    <t>4056-2-177</t>
  </si>
  <si>
    <t>12 Months Standard Support and Software Maintenance for GigaVUE-VM 250 Pack Bundle SW License Extension.</t>
  </si>
  <si>
    <t>GFM-VM250-SM</t>
  </si>
  <si>
    <t>4056-2-178</t>
  </si>
  <si>
    <t>Multi-Year Allowance for Advanced Support and Software Maintenance for GigaLINK-X for GigaVUE-420 empty XFP cage 10 Gig port module (EOS)</t>
  </si>
  <si>
    <t>GLK-310-AS</t>
  </si>
  <si>
    <t>4056-2-179</t>
  </si>
  <si>
    <t>12 Months Premium 24x7 Support and Software Maintenance for GigaLINK-X for GigaVUE-420 empty XFP cage 10 Gig port module (EOS)</t>
  </si>
  <si>
    <t>GLK-310-PM</t>
  </si>
  <si>
    <t>4056-2-180</t>
  </si>
  <si>
    <t>12 Months Standard Support and Software Maintenance for GigaLINK-X for GigaVUE-420 empty XFP cage 10 Gig port module (EOS)</t>
  </si>
  <si>
    <t>GLK-310-SM</t>
  </si>
  <si>
    <t>4056-2-182</t>
  </si>
  <si>
    <t>Multi-Year Allowance for Advanced Support and Software Maintenance for GigaLINK-Cu -CX4 for GigaVUE-420 10 Gig copper stacking port</t>
  </si>
  <si>
    <t>GLK-311-AS</t>
  </si>
  <si>
    <t>4056-2-183</t>
  </si>
  <si>
    <t>12 Months Premium 24x7 Support and Software Maintenance for GigaLINK-Cu -CX4 for GigaVUE-420 10 Gig copper stacking port</t>
  </si>
  <si>
    <t>GLK-311-PM</t>
  </si>
  <si>
    <t>4056-2-184</t>
  </si>
  <si>
    <t>12 Months Standard Support and Software Maintenance for GigaLINK-Cu -CX4 for GigaVUE-420 10 Gig copper stacking port</t>
  </si>
  <si>
    <t>GLK-311-SM</t>
  </si>
  <si>
    <t>4056-2-185</t>
  </si>
  <si>
    <t>Multi-Year Allowance for Advanced Support and Software Maintenance for GigaLINK-SR -XFP for GigaVUE-420 MM 850 10 Gig port module (EOS)</t>
  </si>
  <si>
    <t>GLK-312-AS</t>
  </si>
  <si>
    <t>4056-2-186</t>
  </si>
  <si>
    <t>12 Months Premium 24x7 Support and Software Maintenance for GigaLINK-SR -XFP for GigaVUE-420 MM 850 10 Gig port module (EOS)</t>
  </si>
  <si>
    <t>GLK-312-PM</t>
  </si>
  <si>
    <t>4056-2-187</t>
  </si>
  <si>
    <t>12 Months Standard Support and Software Maintenance for GigaLINK-SR -XFP for GigaVUE-420 MM 850 10 Gig port module (EOS)</t>
  </si>
  <si>
    <t>GLK-312-SM</t>
  </si>
  <si>
    <t>4056-2-188</t>
  </si>
  <si>
    <t>Multi-Year Allowance for Advanced Support and Software Maintenance for GigaLINK-LR -XFP for GigaVUE-420 SM 1310 10 Gig port module (EOS)</t>
  </si>
  <si>
    <t>GLK-313-AS</t>
  </si>
  <si>
    <t>4056-2-424</t>
  </si>
  <si>
    <t>Multi-Year Allowance for Advanced Support and Software Maintenance for 10 GigaPORT-5X3C 5x10G fiber SFP+ plus 3xCX4 copper port expansion blade for GigaVUE-2404N NEBS certified (Special Order)</t>
  </si>
  <si>
    <t>PRT-435N-AS</t>
  </si>
  <si>
    <t>4056-2-425</t>
  </si>
  <si>
    <t>12 Months Premium 24x7 Support and Software Maintenance for 10 GigaPORT-5X3C 5x10G fiber SFP+ plus 3xCX4 copper port expansion blade for GigaVUE-2404N NEBS certified (Special Order)</t>
  </si>
  <si>
    <t>PRT-435N-PM</t>
  </si>
  <si>
    <t>4056-2-426</t>
  </si>
  <si>
    <t>12 Months Standard Support and Software Maintenance for 10 GigaPORT-5X3C 5x10G fiber SFP+ plus 3xCX4 copper port expansion blade for GigaVUE-2404N NEBS certified (Special Order)</t>
  </si>
  <si>
    <t>PRT-435N-SM</t>
  </si>
  <si>
    <t>4056-2-427</t>
  </si>
  <si>
    <t>12 Months Premium 24x7 Support and Software Maintenance for 10 GigaPORT-5X3C 5x10G fiber SFP+ plus 3xCX4 copper port expansion blade for GigaVUE-2404 (Special Order)</t>
  </si>
  <si>
    <t>PRT-435-PM</t>
  </si>
  <si>
    <t>4056-2-428</t>
  </si>
  <si>
    <t>12 Months Standard Support and Software Maintenance for 10 GigaPORT-5X3C 5x10G fiber SFP+ plus 3xCX4 copper port expansion blade for GigaVUE-2404 (Special Order)</t>
  </si>
  <si>
    <t>PRT-435-SM</t>
  </si>
  <si>
    <t>4056-2-430</t>
  </si>
  <si>
    <t>Multi-Year Allowance for Advanced Support and Software Maintenance for 10 GigaPORT-8X 8x10G fiber SFP+ port expansion blade for GigaVUE-2404</t>
  </si>
  <si>
    <t>PRT-438-AS</t>
  </si>
  <si>
    <t>4056-2-432</t>
  </si>
  <si>
    <t>Multi-Year Allowance for Advanced Support and Software Maintenance for 10 GigaPORT-8X 8x10G fiber SFP+ port expansion for GigaVUE-2404N NEBS certified</t>
  </si>
  <si>
    <t>PRT-438N-AS</t>
  </si>
  <si>
    <t>4056-2-433</t>
  </si>
  <si>
    <t>12 Months Premium 24x7 Support and Software Maintenance for 10 GigaPORT-8X 8x10G fiber SFP+ port expansion for GigaVUE-2404N NEBS certified</t>
  </si>
  <si>
    <t>PRT-438N-PM</t>
  </si>
  <si>
    <t>4056-2-434</t>
  </si>
  <si>
    <t>12 Months Standard Support and Software Maintenance for 10 GigaPORT-8X 8x10G fiber SFP+ port expansion for GigaVUE-2404N NEBS certified</t>
  </si>
  <si>
    <t>PRT-438N-SM</t>
  </si>
  <si>
    <t>4056-2-435</t>
  </si>
  <si>
    <t>12 Months Premium 24x7 Support and Software Maintenance for 10 GigaPORT-8X 8x10G fiber SFP+ port expansion blade for GigaVUE-2404</t>
  </si>
  <si>
    <t>PRT-438-PM</t>
  </si>
  <si>
    <t>4056-2-436</t>
  </si>
  <si>
    <t>12 Months Standard Support and Software Maintenance for 10 GigaPORT-8X 8x10G fiber SFP+ port expansion blade for GigaVUE-2404</t>
  </si>
  <si>
    <t>PRT-438-SM</t>
  </si>
  <si>
    <t>4056-2-438</t>
  </si>
  <si>
    <t>Multi-Year Allowance for Advanced Support and Software Maintenance for 10 GigaPORT-8C 8x10G copper CX4 port clustering hub blade for GigaVUE-2404  (Special Order)</t>
  </si>
  <si>
    <t>PRT-439-AS</t>
  </si>
  <si>
    <t>4056-2-440</t>
  </si>
  <si>
    <t>Multi-Year Allowance for Advanced Support and Software Maintenance for 10 GigaPORT-8C 8x10G copper CX4 port clustering hub blade for GigaVUE-2404N NEBS certified  (Special Order)</t>
  </si>
  <si>
    <t>PRT-439N-AS</t>
  </si>
  <si>
    <t>4056-2-441</t>
  </si>
  <si>
    <t>12 Months Premium 24x7 Support and Software Maintenance for 10 GigaPORT-8C 8x10G copper CX4 port clustering hub blade for GigaVUE-2404N NEBS certified (Special Order)</t>
  </si>
  <si>
    <t>PRT-439N-PM</t>
  </si>
  <si>
    <t>4056-2-442</t>
  </si>
  <si>
    <t>12 Months Standard Support and Software Maintenance for 10 GigaPORT-8C 8x10G copper CX4 port clustering hub blade for GigaVUE-2404N NEBS certified (Special Order)</t>
  </si>
  <si>
    <t>PRT-439N-SM</t>
  </si>
  <si>
    <t>4056-2-443</t>
  </si>
  <si>
    <t>12 Months Premium 24x7 Support and Software Maintenance for 10 GigaPORT-8C 8x10G copper CX4 port clustering hub blade for GigaVUE-2404 (Special Order)</t>
  </si>
  <si>
    <t>PRT-439-PM</t>
  </si>
  <si>
    <t>4056-2-444</t>
  </si>
  <si>
    <t>12 Months Standard Support and Software Maintenance for 10 GigaPORT-8C 8x10G copper CX4 port clustering hub blade for GigaVUE-2404 (Special Order)</t>
  </si>
  <si>
    <t>PRT-439-SM</t>
  </si>
  <si>
    <t>4056-2-446</t>
  </si>
  <si>
    <t>Multi-Year Allowance for Advanced Support and Software Maintenance for Port Blade HD Series 2x40G 32x10G (24 10G + 2 40G or 32 10G active)</t>
  </si>
  <si>
    <t>PRT-H00-Q02X32-AS</t>
  </si>
  <si>
    <t>4056-2-447</t>
  </si>
  <si>
    <t>12 Months Premium 24x7 Support and Software Maintenance for Port Blade HD Series 2x40G 32x10G (24 10G + 2 40G or 32 10G active)</t>
  </si>
  <si>
    <t>PRT-H00-Q02X32-PM</t>
  </si>
  <si>
    <t>4056-2-469</t>
  </si>
  <si>
    <t>12 Months Standard Support and Software Maintenance for Port Blade HD Series 2x40G 32x10G (24 10G + 2 40G or 32 10G active)</t>
  </si>
  <si>
    <t>PRT-H00-Q02X32-SM</t>
  </si>
  <si>
    <t>4056-2-471</t>
  </si>
  <si>
    <t>Multi-Year Allowance for Advanced Support and Software Maintenance for Port Blade HD Series 4x10G 44x1G</t>
  </si>
  <si>
    <t>PRT-H00-X04G44-AS</t>
  </si>
  <si>
    <t>4056-2-472</t>
  </si>
  <si>
    <t>12 Months Premium 24x7 Support and Software Maintenance for Port Blade HD Series 4x10G 44x1G</t>
  </si>
  <si>
    <t>PRT-H00-X04G44-PM</t>
  </si>
  <si>
    <t>4056-2-473</t>
  </si>
  <si>
    <t>12 Months Standard Support and Software Maintenance for Port Blade HD Series 4x10G 44x1G</t>
  </si>
  <si>
    <t>PRT-H00-X04G44-SM</t>
  </si>
  <si>
    <t>4056-2-475</t>
  </si>
  <si>
    <t>Multi-Year Allowance for Advanced Support and Software Maintenance for Port Blade HD Series 12x10G 4x1G</t>
  </si>
  <si>
    <t>PRT-H00-X12G04-AS</t>
  </si>
  <si>
    <t>4056-2-476</t>
  </si>
  <si>
    <t>12 Months Premium 24x7 Support and Software Maintenance for Port Blade HD Series 12x10G 4x1G</t>
  </si>
  <si>
    <t>PRT-H00-X12G04-PM</t>
  </si>
  <si>
    <t>4056-2-189</t>
  </si>
  <si>
    <t>12 Months Premium 24x7 Support and Software Maintenance for GigaLINK-LR -XFP for GigaVUE-420 SM 1310 10 Gig port module (EOS)</t>
  </si>
  <si>
    <t>GLK-313-PM</t>
  </si>
  <si>
    <t>4056-2-190</t>
  </si>
  <si>
    <t>12 Months Standard Support and Software Maintenance for GigaLINK-LR -XFP for GigaVUE-420 SM 1310 10 Gig port module (EOS)</t>
  </si>
  <si>
    <t>GLK-313-SM</t>
  </si>
  <si>
    <t>4056-2-191</t>
  </si>
  <si>
    <t>Multi-Year Allowance for Advanced Support and Software Maintenance for GigaLINK-ER -XFP for GigaVUE-420 SM 1550 10 Gig port module (EOS)</t>
  </si>
  <si>
    <t>GLK-314-AS</t>
  </si>
  <si>
    <t>4056-2-192</t>
  </si>
  <si>
    <t>12 Months Premium 24x7 Support and Software Maintenance for GigaLINK-ER -XFP for GigaVUE-420 SM 1550 10 Gig port module (EOS)</t>
  </si>
  <si>
    <t>GLK-314-PM</t>
  </si>
  <si>
    <t>4056-2-193</t>
  </si>
  <si>
    <t>12 Months Standard Support and Software Maintenance for GigaLINK-ER -XFP for GigaVUE-420 SM 1550 10 Gig port module (EOS)</t>
  </si>
  <si>
    <t>GLK-314-SM</t>
  </si>
  <si>
    <t>4056-2-195</t>
  </si>
  <si>
    <t>Multi-Year Allowance for Advanced Support and Software Maintenance for GigaLINK-SFP+ for GigaVUE-420 empty SFP+ cage 10 Gig port module</t>
  </si>
  <si>
    <t>GLK-320-AS</t>
  </si>
  <si>
    <t>4056-2-196</t>
  </si>
  <si>
    <t>12 Months Premium 24x7 Support and Software Maintenance for GigaLINK-SFP+ for GigaVUE-420 empty SFP+ cage 10 Gig port module</t>
  </si>
  <si>
    <t>GLK-320-PM</t>
  </si>
  <si>
    <t>4056-2-197</t>
  </si>
  <si>
    <t>12 Months Standard Support and Software Maintenance for GigaLINK-SFP+ for GigaVUE-420 empty SFP+ cage 10 Gig port module</t>
  </si>
  <si>
    <t>GLK-320-SM</t>
  </si>
  <si>
    <t>4056-2-199</t>
  </si>
  <si>
    <t>Multi-Year Allowance for Advanced Support and Software Maintenance for GigaLINK-SR -SFP+ for GigaVUE-420 MM 850 10 Gig port module</t>
  </si>
  <si>
    <t>GLK-322-AS</t>
  </si>
  <si>
    <t>4056-2-200</t>
  </si>
  <si>
    <t>12 Months Premium 24x7 Support and Software Maintenance for GigaLINK-SR -SFP+ for GigaVUE-420 MM 850 10 Gig port module</t>
  </si>
  <si>
    <t>GLK-322-PM</t>
  </si>
  <si>
    <t>4056-2-201</t>
  </si>
  <si>
    <t>12 Months Standard Support and Software Maintenance for GigaLINK-SR -SFP+ for GigaVUE-420 MM 850 10 Gig port module</t>
  </si>
  <si>
    <t>GLK-322-SM</t>
  </si>
  <si>
    <t>4056-2-203</t>
  </si>
  <si>
    <t>Multi-Year Allowance for Advanced Support and Software Maintenance for GigaLINK-LR -SFP+ for GigaVUE-420 SM 1310 10 Gig port module</t>
  </si>
  <si>
    <t>GLK-323-AS</t>
  </si>
  <si>
    <t>4056-2-204</t>
  </si>
  <si>
    <t>12 Months Premium 24x7 Support and Software Maintenance for GigaLINK-LR -SFP+ for GigaVUE-420 SM 1310 10 Gig port module</t>
  </si>
  <si>
    <t>GLK-323-PM</t>
  </si>
  <si>
    <t>4056-2-205</t>
  </si>
  <si>
    <t>12 Months Standard Support and Software Maintenance for GigaLINK-LR -SFP+ for GigaVUE-420 SM 1310 10 Gig port module</t>
  </si>
  <si>
    <t>GLK-323-SM</t>
  </si>
  <si>
    <t>4056-2-207</t>
  </si>
  <si>
    <t>Multi-Year Allowance for Advanced Support and Software Maintenance for GigaLINK-ER -SFP+ for GigaVUE-420 SM 1550 10 Gig port module (Special Order)</t>
  </si>
  <si>
    <t>GLK-324-AS</t>
  </si>
  <si>
    <t>4056-2-208</t>
  </si>
  <si>
    <t>12 Months Premium 24x7 Support and Software Maintenance for GigaLINK-ER -SFP+ for GigaVUE-420 SM 1550 10 Gig port module (Special Order)</t>
  </si>
  <si>
    <t>GLK-324-PM</t>
  </si>
  <si>
    <t>4056-2-209</t>
  </si>
  <si>
    <t>12 Months Standard Support and Software Maintenance for GigaLINK-ER -SFP+ for GigaVUE-420 SM 1550 10 Gig port module (Special Order)</t>
  </si>
  <si>
    <t>GLK-324-SM</t>
  </si>
  <si>
    <t>4056-2-211</t>
  </si>
  <si>
    <t>Multi-Year Allowance for Advanced Support and Software Maintenance for GigaLINK-SFP+ LRM for GigaVUE-420 MM 1310 10 Gig port module (Special Order)</t>
  </si>
  <si>
    <t>GLK-325-AS</t>
  </si>
  <si>
    <t>4056-2-212</t>
  </si>
  <si>
    <t>12 Months Premium 24x7 Support and Software Maintenance for GigaLINK-SFP+ LRM for GigaVUE-420 MM 1310 10 Gig port module (Special Order)</t>
  </si>
  <si>
    <t>GLK-325-PM</t>
  </si>
  <si>
    <t>4056-2-213</t>
  </si>
  <si>
    <t>12 Months Standard Support and Software Maintenance for GigaLINK-SFP+ LRM for GigaVUE-420 MM 1310 10 Gig port module (Special Order)</t>
  </si>
  <si>
    <t>GLK-325-SM</t>
  </si>
  <si>
    <t>4056-2-215</t>
  </si>
  <si>
    <t>Multi-Year Allowance for Advanced Support and Software Maintenance for One Day On-Site Design Optimization Implementation Assistance includes travel (North America Only)</t>
  </si>
  <si>
    <t>GPS-PS8-NAO-AS</t>
  </si>
  <si>
    <t>4056-2-216</t>
  </si>
  <si>
    <t>12 Months Premium 24x7 Support and Software Maintenance for One Day On-Site Design Optimization Implementation Assistance includes travel (North America Only)</t>
  </si>
  <si>
    <t>GPS-PS8-NAO-PM</t>
  </si>
  <si>
    <t>4056-2-217</t>
  </si>
  <si>
    <t>12 Months Standard Support and Software Maintenance for One Day On-Site Design Optimization Implementation Assistance includes travel (North America Only)</t>
  </si>
  <si>
    <t>GPS-PS8-NAO-SM</t>
  </si>
  <si>
    <t>4056-2-219</t>
  </si>
  <si>
    <t>Multi-Year Allowance for Advanced Support and Software Maintenance for One Day Remote  Design Optimization Implementation Assistance Best suited for Staging and custom configuration assistance. (Available World Wide)</t>
  </si>
  <si>
    <t>GPS-PS8-WWR-AS</t>
  </si>
  <si>
    <t>4056-2-220</t>
  </si>
  <si>
    <t>12 Months Premium 24x7 Support and Software Maintenance for One Day Remote  Design Optimization Implementation Assistance Best suited for Staging and custom configuration assistance. (Available World Wide)</t>
  </si>
  <si>
    <t>GPS-PS8-WWR-PM</t>
  </si>
  <si>
    <t>4056-2-221</t>
  </si>
  <si>
    <t>12 Months Standard Support and Software Maintenance for One Day Remote  Design Optimization Implementation Assistance Best suited for Staging and custom configuration assistance. (Available World Wide)</t>
  </si>
  <si>
    <t>GPS-PS8-WWR-SM</t>
  </si>
  <si>
    <t>4056-2-223</t>
  </si>
  <si>
    <t>Multi-Year Allowance for Advanced Support and Software Maintenance for G-SECURE-0216 In-line distribution node Multimode AC power</t>
  </si>
  <si>
    <t>GSC-GMM01-AS</t>
  </si>
  <si>
    <t>4056-2-224</t>
  </si>
  <si>
    <t>12 Months Premium 24x7 Support and Software Maintenance for G-SECURE-0216 In-line distribution node Multimode AC power</t>
  </si>
  <si>
    <t>GSC-GMM01-PM</t>
  </si>
  <si>
    <t>4056-2-225</t>
  </si>
  <si>
    <t>12 Months Standard Support and Software Maintenance for G-SECURE-0216 In-line distribution node Multimode AC power</t>
  </si>
  <si>
    <t>GSC-GMM01-SM</t>
  </si>
  <si>
    <t>4056-2-227</t>
  </si>
  <si>
    <t>Multi-Year Allowance for Advanced Support and Software Maintenance for G-SECURE-0216 In-line distribution node Multimode DC power</t>
  </si>
  <si>
    <t>GSC-GMM02-AS</t>
  </si>
  <si>
    <t>4056-2-228</t>
  </si>
  <si>
    <t>12 Months Premium 24x7 Support and Software Maintenance for G-SECURE-0216 In-line distribution node Multimode DC power</t>
  </si>
  <si>
    <t>GSC-GMM02-PM</t>
  </si>
  <si>
    <t>4056-2-229</t>
  </si>
  <si>
    <t>12 Months Standard Support and Software Maintenance for G-SECURE-0216 In-line distribution node Multimode DC power</t>
  </si>
  <si>
    <t>GSC-GMM02-SM</t>
  </si>
  <si>
    <t>4056-2-231</t>
  </si>
  <si>
    <t>Multi-Year Allowance for Advanced Support and Software Maintenance for G-SECURE-0216 In-line distribution node Singlemode AC power</t>
  </si>
  <si>
    <t>GSC-GSM01-AS</t>
  </si>
  <si>
    <t>4056-2-232</t>
  </si>
  <si>
    <t>12 Months Premium 24x7 Support and Software Maintenance for G-SECURE-0216 In-line distribution node Singlemode AC power</t>
  </si>
  <si>
    <t>GSC-GSM01-PM</t>
  </si>
  <si>
    <t>4056-2-233</t>
  </si>
  <si>
    <t>12 Months Standard Support and Software Maintenance for G-SECURE-0216 In-line distribution node Singlemode AC power</t>
  </si>
  <si>
    <t>GSC-GSM01-SM</t>
  </si>
  <si>
    <t>4056-2-235</t>
  </si>
  <si>
    <t>Multi-Year Allowance for Advanced Support and Software Maintenance for G-SECURE-0216 In-line distribution node Singlemode DC power</t>
  </si>
  <si>
    <t>GSC-GSM02-AS</t>
  </si>
  <si>
    <t>4056-2-236</t>
  </si>
  <si>
    <t>12 Months Premium 24x7 Support and Software Maintenance for G-SECURE-0216 In-line distribution node Singlemode DC power</t>
  </si>
  <si>
    <t>GSC-GSM02-PM</t>
  </si>
  <si>
    <t>4056-2-237</t>
  </si>
  <si>
    <t>12 Months Standard Support and Software Maintenance for G-SECURE-0216 In-line distribution node Singlemode DC power</t>
  </si>
  <si>
    <t>GSC-GSM02-SM</t>
  </si>
  <si>
    <t>4056-2-239</t>
  </si>
  <si>
    <t>Multi-Year Allowance for Advanced Support and Software Maintenance for G-TAP A Series Always On SFP/SFP+ TAP No Power</t>
  </si>
  <si>
    <t>GTP-ASF00-AS</t>
  </si>
  <si>
    <t>4056-2-240</t>
  </si>
  <si>
    <t>12 Months Premium 24x7 Support and Software Maintenance for G-TAP A Series Always On SFP/SFP+ TAP No Power</t>
  </si>
  <si>
    <t>GTP-ASF00-PM</t>
  </si>
  <si>
    <t>4056-2-241</t>
  </si>
  <si>
    <t>12 Months Standard Support and Software Maintenance for G-TAP A Series Always On SFP/SFP+ TAP No Power</t>
  </si>
  <si>
    <t>GTP-ASF00-SM</t>
  </si>
  <si>
    <t>4056-2-243</t>
  </si>
  <si>
    <t>Multi-Year Allowance for Advanced Support and Software Maintenance for G-TAP A Series Always On SFP/SFP+ TAP AC Power</t>
  </si>
  <si>
    <t>GTP-ASF01-AS</t>
  </si>
  <si>
    <t>4056-2-244</t>
  </si>
  <si>
    <t>12 Months Premium 24x7 Support and Software Maintenance for G-TAP A Series Always On SFP/SFP+ TAP AC Power</t>
  </si>
  <si>
    <t>GTP-ASF01-PM</t>
  </si>
  <si>
    <t>4056-2-245</t>
  </si>
  <si>
    <t>12 Months Standard Support and Software Maintenance for G-TAP A Series Always On SFP/SFP+ TAP AC Power</t>
  </si>
  <si>
    <t>GTP-ASF01-SM</t>
  </si>
  <si>
    <t>4056-2-247</t>
  </si>
  <si>
    <t>Multi-Year Allowance for Advanced Support and Software Maintenance for G-TAP A Series Always On SFP/SFP+ TAP DC Power</t>
  </si>
  <si>
    <t>GTP-ASF02-AS</t>
  </si>
  <si>
    <t>4056-2-248</t>
  </si>
  <si>
    <t>12 Months Premium 24x7 Support and Software Maintenance for G-TAP A Series Always On SFP/SFP+ TAP DC Power</t>
  </si>
  <si>
    <t>GTP-ASF02-PM</t>
  </si>
  <si>
    <t>4056-2-249</t>
  </si>
  <si>
    <t>12 Months Standard Support and Software Maintenance for G-TAP A Series Always On SFP/SFP+ TAP DC Power</t>
  </si>
  <si>
    <t>GTP-ASF02-SM</t>
  </si>
  <si>
    <t>4056-2-251</t>
  </si>
  <si>
    <t>Multi-Year Allowance for Advanced Support and Software Maintenance for G-TAP A Series Always On copper TAP No Power</t>
  </si>
  <si>
    <t>GTP-ATX00-AS</t>
  </si>
  <si>
    <t>4056-2-252</t>
  </si>
  <si>
    <t>12 Months Premium 24x7 Support and Software Maintenance for G-TAP A Series Always On copper TAP No Power</t>
  </si>
  <si>
    <t>GTP-ATX00-PM</t>
  </si>
  <si>
    <t>4056-2-253</t>
  </si>
  <si>
    <t>12 Months Standard Support and Software Maintenance for G-TAP A Series Always On copper TAP No Power</t>
  </si>
  <si>
    <t>GTP-ATX00-SM</t>
  </si>
  <si>
    <t>4056-2-255</t>
  </si>
  <si>
    <t>Multi-Year Allowance for Advanced Support and Software Maintenance for G-TAP A Series Always On copper TAP AC Power</t>
  </si>
  <si>
    <t>GTP-ATX01-AS</t>
  </si>
  <si>
    <t>4056-2-256</t>
  </si>
  <si>
    <t>12 Months Premium 24x7 Support and Software Maintenance for G-TAP A Series Always On copper TAP AC Power</t>
  </si>
  <si>
    <t>GTP-ATX01-PM</t>
  </si>
  <si>
    <t>4056-2-257</t>
  </si>
  <si>
    <t>12 Months Standard Support and Software Maintenance for G-TAP A Series Always On copper TAP AC Power</t>
  </si>
  <si>
    <t>GTP-ATX01-SM</t>
  </si>
  <si>
    <t>4056-2-259</t>
  </si>
  <si>
    <t>Multi-Year Allowance for Advanced Support and Software Maintenance for G-TAP A Series Always On copper TAP DC Power</t>
  </si>
  <si>
    <t>GTP-ATX02-AS</t>
  </si>
  <si>
    <t>4056-2-477</t>
  </si>
  <si>
    <t>12 Months Standard Support and Software Maintenance for Port Blade HD Series 12x10G 4x1G</t>
  </si>
  <si>
    <t>PRT-H00-X12G04-SM</t>
  </si>
  <si>
    <t>4056-2-479</t>
  </si>
  <si>
    <t>Multi-Year Allowance for Advanced Support and Software Maintenance for Port Blade HD Series 12x10G Time Stamp</t>
  </si>
  <si>
    <t>PRT-H00-X12TS-AS</t>
  </si>
  <si>
    <t>4056-2-480</t>
  </si>
  <si>
    <t>12 Months Premium 24x7 Support and Software Maintenance for Port Blade HD Series 12x10G Time Stamp</t>
  </si>
  <si>
    <t>PRT-H00-X12TS-PM</t>
  </si>
  <si>
    <t>4056-2-481</t>
  </si>
  <si>
    <t>12 Months Standard Support and Software Maintenance for Port Blade HD Series 12x10G Time Stamp</t>
  </si>
  <si>
    <t>PRT-H00-X12TS-SM</t>
  </si>
  <si>
    <t>4056-2-483</t>
  </si>
  <si>
    <t>Multi-Year Allowance for Advanced Support and Software Maintenance for Port Module HC Series 6x40G</t>
  </si>
  <si>
    <t>PRT-HC0-Q06-AS</t>
  </si>
  <si>
    <t>4056-2-484</t>
  </si>
  <si>
    <t>12 Months Premium 24x7 Support and Software Maintenance for Port Module HC Series 6x40G</t>
  </si>
  <si>
    <t>PRT-HC0-Q06-PM</t>
  </si>
  <si>
    <t>4056-2-485</t>
  </si>
  <si>
    <t>12 Months Standard Support and Software Maintenance for Port Module HC Series 6x40G</t>
  </si>
  <si>
    <t>PRT-HC0-Q06-SM</t>
  </si>
  <si>
    <t>4056-2-487</t>
  </si>
  <si>
    <t>Multi-Year Allowance for Advanced Support and Software Maintenance for Port Module HC Series 24x10G</t>
  </si>
  <si>
    <t>PRT-HC0-X24-AS</t>
  </si>
  <si>
    <t>4056-2-488</t>
  </si>
  <si>
    <t>12 Months Premium 24x7 Support and Software Maintenance for Port Module HC Series 24x10G</t>
  </si>
  <si>
    <t>PRT-HC0-X24-PM</t>
  </si>
  <si>
    <t>4056-2-489</t>
  </si>
  <si>
    <t>12 Months Standard Support and Software Maintenance for Port Module HC Series 24x10G</t>
  </si>
  <si>
    <t>PRT-HC0-X24-SM</t>
  </si>
  <si>
    <t>4056-2-491</t>
  </si>
  <si>
    <t>Multi-Year Allowance for Advanced Support and Software Maintenance for Port Blade HD Series 1x100G</t>
  </si>
  <si>
    <t>PRT-HD0-C01-AS</t>
  </si>
  <si>
    <t>4056-2-492</t>
  </si>
  <si>
    <t>12 Months Premium 24x7 Support and Software Maintenance for Port Blade HD Series 1x100G</t>
  </si>
  <si>
    <t>PRT-HD0-C01-PM</t>
  </si>
  <si>
    <t>4056-2-493</t>
  </si>
  <si>
    <t>12 Months Standard Support and Software Maintenance for Port Blade HD Series 1x100G</t>
  </si>
  <si>
    <t>PRT-HD0-C01-SM</t>
  </si>
  <si>
    <t>4056-2-495</t>
  </si>
  <si>
    <t>Multi-Year Allowance for Advanced Support and Software Maintenance for Port Blade HD Series 2x100G CFP cages + 8x10G cages</t>
  </si>
  <si>
    <t>PRT-HD0-C02X08-AS</t>
  </si>
  <si>
    <t>4056-2-496</t>
  </si>
  <si>
    <t>12 Months Premium 24x7 Support and Software Maintenance for Port Blade HD Series 2x100G CFP cages + 8x10G cages</t>
  </si>
  <si>
    <t>PRT-HD0-C02X08-PM</t>
  </si>
  <si>
    <t>4056-2-497</t>
  </si>
  <si>
    <t>12 Months Standard Support and Software Maintenance for Port Blade HD Series 2x100G CFP cages + 8x10G cages</t>
  </si>
  <si>
    <t>PRT-HD0-C02X08-SM</t>
  </si>
  <si>
    <t>4056-2-499</t>
  </si>
  <si>
    <t>Multi-Year Allowance for Advanced Support and Software Maintenance for Port Blade HD Series 8x40G</t>
  </si>
  <si>
    <t>PRT-HD0-Q08-AS</t>
  </si>
  <si>
    <t>4056-2-500</t>
  </si>
  <si>
    <t>12 Months Premium 24x7 Support and Software Maintenance for Port Blade HD Series 8x40G</t>
  </si>
  <si>
    <t>PRT-HD0-Q08-PM</t>
  </si>
  <si>
    <t>4056-2-501</t>
  </si>
  <si>
    <t>12 Months Standard Support and Software Maintenance for Port Blade HD Series 8x40G</t>
  </si>
  <si>
    <t>PRT-HD0-Q08-SM</t>
  </si>
  <si>
    <t>4056-2-503</t>
  </si>
  <si>
    <t>Multi-Year Allowance for Advanced Support and Software Maintenance for Power Supply Canister GigaVUE-HD4 AC (each)</t>
  </si>
  <si>
    <t>PSC-HD401-AS</t>
  </si>
  <si>
    <t>4056-2-504</t>
  </si>
  <si>
    <t>12 Months Premium 24x7 Support and Software Maintenance for Power Supply Canister GigaVUE-HD4 AC (each)</t>
  </si>
  <si>
    <t>PSC-HD401-PM</t>
  </si>
  <si>
    <t>4056-2-505</t>
  </si>
  <si>
    <t>12 Months Standard Support and Software Maintenance for Power Supply Canister GigaVUE-HD4 AC (each)</t>
  </si>
  <si>
    <t>PSC-HD401-SM</t>
  </si>
  <si>
    <t>4056-2-507</t>
  </si>
  <si>
    <t>Multi-Year Allowance for Advanced Support and Software Maintenance for Power Supply Canister GigaVUE-HD4 DC (each)</t>
  </si>
  <si>
    <t>PSC-HD402-AS</t>
  </si>
  <si>
    <t>4056-2-508</t>
  </si>
  <si>
    <t>12 Months Premium 24x7 Support and Software Maintenance for Power Supply Canister GigaVUE-HD4 DC (each)</t>
  </si>
  <si>
    <t>PSC-HD402-PM</t>
  </si>
  <si>
    <t>4056-2-509</t>
  </si>
  <si>
    <t>12 Months Standard Support and Software Maintenance for Power Supply Canister GigaVUE-HD4 DC (each)</t>
  </si>
  <si>
    <t>PSC-HD402-SM</t>
  </si>
  <si>
    <t>4056-2-511</t>
  </si>
  <si>
    <t>Multi-Year Allowance for Advanced Support and Software Maintenance for Power Supply Canister GigaVUE-HD8 AC (each)</t>
  </si>
  <si>
    <t>PSC-HD801-AS</t>
  </si>
  <si>
    <t>4056-2-512</t>
  </si>
  <si>
    <t>12 Months Premium 24x7 Support and Software Maintenance for Power Supply Canister GigaVUE-HD8 AC (each)</t>
  </si>
  <si>
    <t>PSC-HD801-PM</t>
  </si>
  <si>
    <t>4056-2-513</t>
  </si>
  <si>
    <t>12 Months Standard Support and Software Maintenance for Power Supply Canister GigaVUE-HD8 AC (each)</t>
  </si>
  <si>
    <t>PSC-HD801-SM</t>
  </si>
  <si>
    <t>4056-2-515</t>
  </si>
  <si>
    <t>Multi-Year Allowance for Advanced Support and Software Maintenance for Power Supply Canister GigaVUE-HD8 DC (each)</t>
  </si>
  <si>
    <t>PSC-HD802-AS</t>
  </si>
  <si>
    <t>4056-2-516</t>
  </si>
  <si>
    <t>12 Months Premium 24x7 Support and Software Maintenance for Power Supply Canister GigaVUE-HD8 DC (each)</t>
  </si>
  <si>
    <t>PSC-HD802-PM</t>
  </si>
  <si>
    <t>4056-2-260</t>
  </si>
  <si>
    <t>12 Months Premium 24x7 Support and Software Maintenance for G-TAP A Series Always On copper TAP DC Power</t>
  </si>
  <si>
    <t>GTP-ATX02-PM</t>
  </si>
  <si>
    <t>4056-2-261</t>
  </si>
  <si>
    <t>12 Months Standard Support and Software Maintenance for G-TAP A Series Always On copper TAP DC Power</t>
  </si>
  <si>
    <t>GTP-ATX02-SM</t>
  </si>
  <si>
    <t>4056-2-262</t>
  </si>
  <si>
    <t>Multi-Year Allowance for Advanced Support and Software Maintenance for GigaVUE-212  8x1Gig copper or SFP and 2x10Gig SFP+ port single AC power</t>
  </si>
  <si>
    <t>GVS-212-AS</t>
  </si>
  <si>
    <t>4056-2-263</t>
  </si>
  <si>
    <t>12 Months Premium 24x7 Support and Software Maintenance for GigaVUE-212 8x1Gig copper or SFP and 2x10Gig SFP+ port single AC power</t>
  </si>
  <si>
    <t>GVS-212-PM</t>
  </si>
  <si>
    <t>4056-2-264</t>
  </si>
  <si>
    <t>12 Months Standard Support and Software Maintenance for GigaVUE-212 8x1Gig copper or SFP and 2x10Gig SFP+ port single AC power</t>
  </si>
  <si>
    <t>GVS-212-SM</t>
  </si>
  <si>
    <t>4056-2-265</t>
  </si>
  <si>
    <t>Multi-Year Allowance for Advanced Support and Software Maintenance for GigaVUE-212  8x1Gig copper or SFP and 2x10Gig SFP+ port single DC power</t>
  </si>
  <si>
    <t>GVS-213-AS</t>
  </si>
  <si>
    <t>4056-2-266</t>
  </si>
  <si>
    <t>12 Months Premium 24x7 Support and Software Maintenance for GigaVUE-212 8x1Gig copper or SFP and 2x10Gig SFP+ port single DC power</t>
  </si>
  <si>
    <t>GVS-213-PM</t>
  </si>
  <si>
    <t>4056-2-267</t>
  </si>
  <si>
    <t>12 Months Standard Support and Software Maintenance for GigaVUE-212 8x1Gig copper or SFP and 2x10Gig SFP+ port single DC power</t>
  </si>
  <si>
    <t>GVS-213-SM</t>
  </si>
  <si>
    <t>4056-2-269</t>
  </si>
  <si>
    <t>Multi-Year Allowance for Advanced Support and Software Maintenance for GigaVUE-420  4 copper port AC power</t>
  </si>
  <si>
    <t>GVS-421-AS</t>
  </si>
  <si>
    <t>4056-2-270</t>
  </si>
  <si>
    <t>12 Months Premium 24x7 Support and Software Maintenance for GigaVUE-420 4 copper port AC power</t>
  </si>
  <si>
    <t>GVS-421-PM</t>
  </si>
  <si>
    <t>4056-2-271</t>
  </si>
  <si>
    <t>12 Months Standard Support and Software Maintenance for GigaVUE-420 4 copper port AC power</t>
  </si>
  <si>
    <t>GVS-421-SM</t>
  </si>
  <si>
    <t>4056-2-273</t>
  </si>
  <si>
    <t>Multi-Year Allowance for Advanced Support and Software Maintenance for GigaVUE-420  4 SFP Cages AC power</t>
  </si>
  <si>
    <t>GVS-422-AS</t>
  </si>
  <si>
    <t>4056-2-274</t>
  </si>
  <si>
    <t>12 Months Premium 24x7 Support and Software Maintenance for GigaVUE-420 4 SFP Cages AC power</t>
  </si>
  <si>
    <t>GVS-422-PM</t>
  </si>
  <si>
    <t>4056-2-275</t>
  </si>
  <si>
    <t>12 Months Standard Support and Software Maintenance for GigaVUE-420 4 SFP Cages AC power</t>
  </si>
  <si>
    <t>GVS-422-SM</t>
  </si>
  <si>
    <t>4056-2-277</t>
  </si>
  <si>
    <t>Multi-Year Allowance for Advanced Support and Software Maintenance for GigaVUE-420  4 copper port DC power</t>
  </si>
  <si>
    <t>GVS-423-AS</t>
  </si>
  <si>
    <t>4056-2-278</t>
  </si>
  <si>
    <t>12 Months Premium 24x7 Support and Software Maintenance for GigaVUE-420 4 copper port DC power</t>
  </si>
  <si>
    <t>GVS-423-PM</t>
  </si>
  <si>
    <t>4056-2-279</t>
  </si>
  <si>
    <t>12 Months Standard Support and Software Maintenance for GigaVUE-420 4 copper port DC power</t>
  </si>
  <si>
    <t>GVS-423-SM</t>
  </si>
  <si>
    <t>4056-2-281</t>
  </si>
  <si>
    <t>Multi-Year Allowance for Advanced Support and Software Maintenance for GigaVUE-420  4 SFP Cages DC power</t>
  </si>
  <si>
    <t>GVS-424-AS</t>
  </si>
  <si>
    <t>4056-2-282</t>
  </si>
  <si>
    <t>12 Months Premium 24x7 Support and Software Maintenance for GigaVUE-420 4 SFP Cages DC power</t>
  </si>
  <si>
    <t>GVS-424-PM</t>
  </si>
  <si>
    <t>4056-2-283</t>
  </si>
  <si>
    <t>12 Months Standard Support and Software Maintenance for GigaVUE-420 4 SFP Cages DC power</t>
  </si>
  <si>
    <t>GVS-424-SM</t>
  </si>
  <si>
    <t>4056-2-285</t>
  </si>
  <si>
    <t>Multi-Year Allowance for Advanced Support and Software Maintenance for GigaVUE-2404  8 10G ports 4 1G ports AC power</t>
  </si>
  <si>
    <t>GVS-432-AS</t>
  </si>
  <si>
    <t>4056-2-287</t>
  </si>
  <si>
    <t>Multi-Year Allowance for Advanced Support and Software Maintenance for GigaVUE-2404N  8 10G ports 4 1G ports AC power NEBS certified</t>
  </si>
  <si>
    <t>GVS-432N-AS</t>
  </si>
  <si>
    <t>4056-2-288</t>
  </si>
  <si>
    <t>12 Months Premium 24x7 Support and Software Maintenance for GigaVUE-2404N 8 10G ports 4 1G ports AC power NEBS certified</t>
  </si>
  <si>
    <t>GVS-432N-PM</t>
  </si>
  <si>
    <t>4056-2-289</t>
  </si>
  <si>
    <t>12 Months Standard Support and Software Maintenance for GigaVUE-2404N 8 10G ports 4 1G ports AC power NEBS certified</t>
  </si>
  <si>
    <t>GVS-432N-SM</t>
  </si>
  <si>
    <t>4056-2-290</t>
  </si>
  <si>
    <t>12 Months Premium 24x7 Support and Software Maintenance for GigaVUE-2404 8 10G ports 4 1G ports AC power</t>
  </si>
  <si>
    <t>GVS-432-PM</t>
  </si>
  <si>
    <t>4056-2-291</t>
  </si>
  <si>
    <t>12 Months Standard Support and Software Maintenance for GigaVUE-2404 8 10G ports 4 1G ports AC power</t>
  </si>
  <si>
    <t>GVS-432-SM</t>
  </si>
  <si>
    <t>4056-2-293</t>
  </si>
  <si>
    <t>Multi-Year Allowance for Advanced Support and Software Maintenance for GigaVUE-2404  8 10G ports 4 1G ports DC power</t>
  </si>
  <si>
    <t>GVS-434-AS</t>
  </si>
  <si>
    <t>4056-2-295</t>
  </si>
  <si>
    <t>Multi-Year Allowance for Advanced Support and Software Maintenance for GigaVUE-2404N  8 10G ports 4 1G ports DC power NEBS certified</t>
  </si>
  <si>
    <t>GVS-434N-AS</t>
  </si>
  <si>
    <t>4056-2-296</t>
  </si>
  <si>
    <t>12 Months Premium 24x7 Support and Software Maintenance for GigaVUE-2404N 8 10G ports 4 1G ports DC power NEBS certified</t>
  </si>
  <si>
    <t>GVS-434N-PM</t>
  </si>
  <si>
    <t>4056-2-297</t>
  </si>
  <si>
    <t>12 Months Standard Support and Software Maintenance for GigaVUE-2404N 8 10G ports 4 1G ports DC power NEBS certified</t>
  </si>
  <si>
    <t>GVS-434N-SM</t>
  </si>
  <si>
    <t>4056-2-517</t>
  </si>
  <si>
    <t>12 Months Standard Support and Software Maintenance for Power Supply Canister GigaVUE-HD8 DC (each)</t>
  </si>
  <si>
    <t>PSC-HD802-SM</t>
  </si>
  <si>
    <t>4056-2-519</t>
  </si>
  <si>
    <t>Multi-Year Allowance for Advanced Support and Software Maintenance for Power Supply Tray powers up to 8 RMT-GTA03 trays AC Power</t>
  </si>
  <si>
    <t>PST-GTA01-AS</t>
  </si>
  <si>
    <t>4056-2-520</t>
  </si>
  <si>
    <t>12 Months Premium 24x7 Support and Software Maintenance for Power Supply Tray powers up to 8 RMT-GTA03 trays AC Power</t>
  </si>
  <si>
    <t>PST-GTA01-PM</t>
  </si>
  <si>
    <t>4056-2-521</t>
  </si>
  <si>
    <t>12 Months Standard Support and Software Maintenance for Power Supply Tray powers up to 8 RMT-GTA03 trays AC Power</t>
  </si>
  <si>
    <t>PST-GTA01-SM</t>
  </si>
  <si>
    <t>4056-2-523</t>
  </si>
  <si>
    <t>Multi-Year Allowance for Advanced Support and Software Maintenance for Power Supply Tray powers up to 8 RMT-GTA03 trays DC Power</t>
  </si>
  <si>
    <t>PST-GTA02-AS</t>
  </si>
  <si>
    <t>4056-2-524</t>
  </si>
  <si>
    <t>12 Months Premium 24x7 Support and Software Maintenance for Power Supply Tray powers up to 8 RMT-GTA03 trays DC Power</t>
  </si>
  <si>
    <t>PST-GTA02-PM</t>
  </si>
  <si>
    <t>4056-2-525</t>
  </si>
  <si>
    <t>12 Months Standard Support and Software Maintenance for Power Supply Tray powers up to 8 RMT-GTA03 trays DC Power</t>
  </si>
  <si>
    <t>PST-GTA02-SM</t>
  </si>
  <si>
    <t>4056-2-527</t>
  </si>
  <si>
    <t>Multi-Year Allowance for Advanced Support and Software Maintenance for 110/240 V AC power supply module HB1 420 212 or G-SECURE chassis</t>
  </si>
  <si>
    <t>PWR-2AC-AS</t>
  </si>
  <si>
    <t>4056-2-528</t>
  </si>
  <si>
    <t>12 Months Premium 24x7 Support and Software Maintenance for 110/240 V AC power supply module HB1 420 212 or G-SECURE chassis</t>
  </si>
  <si>
    <t>PWR-2AC-PM</t>
  </si>
  <si>
    <t>4056-2-529</t>
  </si>
  <si>
    <t>12 Months Standard Support and Software Maintenance for 110/240 V AC power supply module HB1 420 212 or G-SECURE chassis</t>
  </si>
  <si>
    <t>PWR-2AC-SM</t>
  </si>
  <si>
    <t>4056-2-531</t>
  </si>
  <si>
    <t>Multi-Year Allowance for Advanced Support and Software Maintenance for -48 V DC power supply module HB1 420 212 or G-SECURE chassis</t>
  </si>
  <si>
    <t>PWR-2DC-AS</t>
  </si>
  <si>
    <t>4056-2-532</t>
  </si>
  <si>
    <t>12 Months Premium 24x7 Support and Software Maintenance for -48 V DC power supply module HB1 420 212 or G-SECURE chassis</t>
  </si>
  <si>
    <t>PWR-2DC-PM</t>
  </si>
  <si>
    <t>4056-2-533</t>
  </si>
  <si>
    <t>12 Months Standard Support and Software Maintenance for -48 V DC power supply module HB1 420 212 or G-SECURE chassis</t>
  </si>
  <si>
    <t>PWR-2DC-SM</t>
  </si>
  <si>
    <t>4056-2-535</t>
  </si>
  <si>
    <t>Multi-Year Allowance for Advanced Support and Software Maintenance for Single 110/240 V AC power supply module 2404 chassis</t>
  </si>
  <si>
    <t>PWR-3AC-AS</t>
  </si>
  <si>
    <t>4056-2-536</t>
  </si>
  <si>
    <t>12 Months Premium 24x7 Support and Software Maintenance for Single 110/240 V AC power supply module 2404 chassis</t>
  </si>
  <si>
    <t>PWR-3AC-PM</t>
  </si>
  <si>
    <t>4056-2-537</t>
  </si>
  <si>
    <t>12 Months Standard Support and Software Maintenance for Single 110/240 V AC power supply module 2404 chassis</t>
  </si>
  <si>
    <t>PWR-3AC-SM</t>
  </si>
  <si>
    <t>4056-2-539</t>
  </si>
  <si>
    <t>Multi-Year Allowance for Advanced Support and Software Maintenance for Single -48 V DC power supply module 2404 chassis</t>
  </si>
  <si>
    <t>PWR-3DC-AS</t>
  </si>
  <si>
    <t>4056-2-540</t>
  </si>
  <si>
    <t>12 Months Premium 24x7 Support and Software Maintenance for Single -48 V DC power supply module 2404 chassis</t>
  </si>
  <si>
    <t>PWR-3DC-PM</t>
  </si>
  <si>
    <t>4056-2-541</t>
  </si>
  <si>
    <t>12 Months Standard Support and Software Maintenance for Single -48 V DC power supply module 2404 chassis</t>
  </si>
  <si>
    <t>PWR-3DC-SM</t>
  </si>
  <si>
    <t>4056-2-543</t>
  </si>
  <si>
    <t>Multi-Year Allowance for Advanced Support and Software Maintenance for Spare Power Supply Module Requires G-TAP A Series Power Supply Tray AC</t>
  </si>
  <si>
    <t>PWR-GTA01-AS</t>
  </si>
  <si>
    <t>4056-2-544</t>
  </si>
  <si>
    <t>12 Months Premium 24x7 Support and Software Maintenance for Spare Power Supply Module Requires G-TAP A Series Power Supply Tray AC</t>
  </si>
  <si>
    <t>PWR-GTA01-PM</t>
  </si>
  <si>
    <t>4056-2-545</t>
  </si>
  <si>
    <t>12 Months Standard Support and Software Maintenance for Spare Power Supply Module Requires G-TAP A Series Power Supply Tray AC</t>
  </si>
  <si>
    <t>PWR-GTA01-SM</t>
  </si>
  <si>
    <t>4056-2-547</t>
  </si>
  <si>
    <t>Multi-Year Allowance for Advanced Support and Software Maintenance for Spare Power Supply Module Requires G-TAP A Series Power Supply Tray DC</t>
  </si>
  <si>
    <t>PWR-GTA02-AS</t>
  </si>
  <si>
    <t>4056-2-548</t>
  </si>
  <si>
    <t>12 Months Premium 24x7 Support and Software Maintenance for Spare Power Supply Module Requires G-TAP A Series Power Supply Tray DC</t>
  </si>
  <si>
    <t>PWR-GTA02-PM</t>
  </si>
  <si>
    <t>4056-2-549</t>
  </si>
  <si>
    <t>12 Months Standard Support and Software Maintenance for Spare Power Supply Module Requires G-TAP A Series Power Supply Tray DC</t>
  </si>
  <si>
    <t>PWR-GTA02-SM</t>
  </si>
  <si>
    <t>4056-2-551</t>
  </si>
  <si>
    <t>Multi-Year Allowance for Advanced Support and Software Maintenance for Power Supply Module GigaVUE-HC2 AC</t>
  </si>
  <si>
    <t>PWR-HC201-AS</t>
  </si>
  <si>
    <t>4056-2-552</t>
  </si>
  <si>
    <t>12 Months Premium 24x7 Support and Software Maintenance for Power Supply Module GigaVUE-HC2 AC</t>
  </si>
  <si>
    <t>PWR-HC201-PM</t>
  </si>
  <si>
    <t>4056-2-553</t>
  </si>
  <si>
    <t>12 Months Standard Support and Software Maintenance for Power Supply Module GigaVUE-HC2 AC</t>
  </si>
  <si>
    <t>PWR-HC201-SM</t>
  </si>
  <si>
    <t>4056-2-555</t>
  </si>
  <si>
    <t>Multi-Year Allowance for Advanced Support and Software Maintenance for Power Supply Module GigaVUE-HC2 DC</t>
  </si>
  <si>
    <t>PWR-HC202-AS</t>
  </si>
  <si>
    <t>4056-2-556</t>
  </si>
  <si>
    <t>12 Months Premium 24x7 Support and Software Maintenance for Power Supply Module GigaVUE-HC2 DC</t>
  </si>
  <si>
    <t>PWR-HC202-PM</t>
  </si>
  <si>
    <t>4056-2-557</t>
  </si>
  <si>
    <t>12 Months Standard Support and Software Maintenance for Power Supply Module GigaVUE-HC2 DC</t>
  </si>
  <si>
    <t>PWR-HC202-SM</t>
  </si>
  <si>
    <t>4056-2-559</t>
  </si>
  <si>
    <t>Multi-Year Allowance for Advanced Support and Software Maintenance for Power Supply Module GigaVUE-TA1 AC</t>
  </si>
  <si>
    <t>PWR-TA101-AS</t>
  </si>
  <si>
    <t>4056-2-560</t>
  </si>
  <si>
    <t>12 Months Premium 24x7 Support and Software Maintenance for Power Supply Module GigaVUE-TA1 AC</t>
  </si>
  <si>
    <t>PWR-TA101-PM</t>
  </si>
  <si>
    <t>4056-2-561</t>
  </si>
  <si>
    <t>12 Months Standard Support and Software Maintenance for Power Supply Module GigaVUE-TA1 AC</t>
  </si>
  <si>
    <t>PWR-TA101-SM</t>
  </si>
  <si>
    <t>4056-2-563</t>
  </si>
  <si>
    <t>Multi-Year Allowance for Advanced Support and Software Maintenance for Power Supply Module GigaVUE-TA1 DC</t>
  </si>
  <si>
    <t>PWR-TA102-AS</t>
  </si>
  <si>
    <t>4056-2-564</t>
  </si>
  <si>
    <t>12 Months Premium 24x7 Support and Software Maintenance for Power Supply Module GigaVUE-TA1 DC</t>
  </si>
  <si>
    <t>PWR-TA102-PM</t>
  </si>
  <si>
    <t>4056-2-565</t>
  </si>
  <si>
    <t>12 Months Standard Support and Software Maintenance for Power Supply Module GigaVUE-TA1 DC</t>
  </si>
  <si>
    <t>PWR-TA102-SM</t>
  </si>
  <si>
    <t>4056-2-567</t>
  </si>
  <si>
    <t>Multi-Year Allowance for Advanced Support and Software Maintenance for 40 Gig QSFP+ BiDi Multimode SR RX-only</t>
  </si>
  <si>
    <t>QSB-501-AS</t>
  </si>
  <si>
    <t>4056-2-568</t>
  </si>
  <si>
    <t>12 Months Premium 24x7 Support and Software Maintenance for 40 Gig QSFP+ BiDi Multimode SR RX-only</t>
  </si>
  <si>
    <t>QSB-501-PM</t>
  </si>
  <si>
    <t>4056-2-569</t>
  </si>
  <si>
    <t>12 Months Standard Support and Software Maintenance for 40 Gig QSFP+ BiDi Multimode SR RX-only</t>
  </si>
  <si>
    <t>QSB-501-SM</t>
  </si>
  <si>
    <t>4056-2-571</t>
  </si>
  <si>
    <t>Multi-Year Allowance for Advanced Support and Software Maintenance for 40 Gig QSFP+ Multimode SR4</t>
  </si>
  <si>
    <t>QSF-502-AS</t>
  </si>
  <si>
    <t>4056-2-572</t>
  </si>
  <si>
    <t>12 Months Premium 24x7 Support and Software Maintenance for 40 Gig QSFP+ Multimode SR4</t>
  </si>
  <si>
    <t>QSF-502-PM</t>
  </si>
  <si>
    <t>4056-2-573</t>
  </si>
  <si>
    <t>12 Months Standard Support and Software Maintenance for 40 Gig QSFP+ Multimode SR4</t>
  </si>
  <si>
    <t>QSF-502-SM</t>
  </si>
  <si>
    <t>4056-2-575</t>
  </si>
  <si>
    <t>Multi-Year Allowance for Advanced Support and Software Maintenance for 40 Gig QSFP+ Singlemode LR4</t>
  </si>
  <si>
    <t>QSF-503-AS</t>
  </si>
  <si>
    <t>4056-2-576</t>
  </si>
  <si>
    <t>12 Months Premium 24x7 Support and Software Maintenance for 40 Gig QSFP+ Singlemode LR4</t>
  </si>
  <si>
    <t>QSF-503-PM</t>
  </si>
  <si>
    <t>4056-2-577</t>
  </si>
  <si>
    <t>12 Months Standard Support and Software Maintenance for 40 Gig QSFP+ Singlemode LR4</t>
  </si>
  <si>
    <t>QSF-503-SM</t>
  </si>
  <si>
    <t>4056-2-579</t>
  </si>
  <si>
    <t>Multi-Year Allowance for Advanced Support and Software Maintenance for Optional Rear Mounting Bracket 45 cm for GigaVUE-TA1 or GigaVUE-HB1</t>
  </si>
  <si>
    <t>RMB-045-AS</t>
  </si>
  <si>
    <t>4056-2-580</t>
  </si>
  <si>
    <t>12 Months Premium 24x7 Support and Software Maintenance for Optional Rear Mounting Bracket 45 cm for GigaVUE-TA1 or GigaVUE-HB1</t>
  </si>
  <si>
    <t>RMB-045-PM</t>
  </si>
  <si>
    <t>4056-2-581</t>
  </si>
  <si>
    <t>12 Months Standard Support and Software Maintenance for Optional Rear Mounting Bracket 45 cm for GigaVUE-TA1 or GigaVUE-HB1</t>
  </si>
  <si>
    <t>RMB-045-SM</t>
  </si>
  <si>
    <t>4056-2-583</t>
  </si>
  <si>
    <t>Multi-Year Allowance for Advanced Support and Software Maintenance for Optional extra long Rear Mounting Bracket 65 cm</t>
  </si>
  <si>
    <t>RMB-065-AS</t>
  </si>
  <si>
    <t>4056-2-584</t>
  </si>
  <si>
    <t>12 Months Premium 24x7 Support and Software Maintenance for Optional extra long Rear Mounting Bracket 65 cm</t>
  </si>
  <si>
    <t>RMB-065-PM</t>
  </si>
  <si>
    <t>4056-2-585</t>
  </si>
  <si>
    <t>12 Months Standard Support and Software Maintenance for Optional extra long Rear Mounting Bracket 65 cm</t>
  </si>
  <si>
    <t>RMB-065-SM</t>
  </si>
  <si>
    <t>4056-2-586</t>
  </si>
  <si>
    <t>Multi-Year Allowance for Advanced Support and Software Maintenance for Rack Mount Tray 3-across G-TAP A Series  (EOS)</t>
  </si>
  <si>
    <t>RMT-GTA01-AS</t>
  </si>
  <si>
    <t>4056-2-587</t>
  </si>
  <si>
    <t>12 Months Premium 24x7 Support and Software Maintenance for Rack Mount Tray 3-across G-TAP A Series (EOS)</t>
  </si>
  <si>
    <t>RMT-GTA01-PM</t>
  </si>
  <si>
    <t>4056-2-588</t>
  </si>
  <si>
    <t>12 Months Standard Support and Software Maintenance for Rack Mount Tray 3-across G-TAP A Series (EOS)</t>
  </si>
  <si>
    <t>RMT-GTA01-SM</t>
  </si>
  <si>
    <t>4056-2-590</t>
  </si>
  <si>
    <t>Multi-Year Allowance for Advanced Support and Software Maintenance for Rack Mount Tray 3-bay G-TAP A Series</t>
  </si>
  <si>
    <t>RMT-GTA03-AS</t>
  </si>
  <si>
    <t>4056-2-591</t>
  </si>
  <si>
    <t>12 Months Premium 24x7 Support and Software Maintenance for Rack Mount Tray 3-bay G-TAP A Series</t>
  </si>
  <si>
    <t>RMT-GTA03-PM</t>
  </si>
  <si>
    <t>4056-2-592</t>
  </si>
  <si>
    <t>12 Months Standard Support and Software Maintenance for Rack Mount Tray 3-bay G-TAP A Series</t>
  </si>
  <si>
    <t>RMT-GTA03-SM</t>
  </si>
  <si>
    <t>4056-2-594</t>
  </si>
  <si>
    <t>Multi-Year Allowance for Advanced Support and Software Maintenance for Contracted Support Services - yearly contracted fee for hardware and software support</t>
  </si>
  <si>
    <t>RNL-CSS-200-AS</t>
  </si>
  <si>
    <t>4056-2-595</t>
  </si>
  <si>
    <t>12 Months Premium 24x7 Support and Software Maintenance for Contracted Support Services - yearly contracted fee for hardware and software support</t>
  </si>
  <si>
    <t>RNL-CSS-200-PM</t>
  </si>
  <si>
    <t>4056-2-596</t>
  </si>
  <si>
    <t>12 Months Standard Support and Software Maintenance for Contracted Support Services - yearly contracted fee for hardware and software support</t>
  </si>
  <si>
    <t>RNL-CSS-200-SM</t>
  </si>
  <si>
    <t>4056-2-598</t>
  </si>
  <si>
    <t>Multi-Year Allowance for Advanced Support and Software Maintenance for 1 Gig SFP Copper UTP with RJ45 interface</t>
  </si>
  <si>
    <t>SFP-501-AS</t>
  </si>
  <si>
    <t>4056-2-599</t>
  </si>
  <si>
    <t>12 Months Premium 24x7 Support and Software Maintenance for 1 Gig SFP Copper UTP with RJ45 interface</t>
  </si>
  <si>
    <t>SFP-501-PM</t>
  </si>
  <si>
    <t>4056-2-600</t>
  </si>
  <si>
    <t>12 Months Standard Support and Software Maintenance for 1 Gig SFP Copper UTP with RJ45 interface</t>
  </si>
  <si>
    <t>SFP-501-SM</t>
  </si>
  <si>
    <t>4056-2-602</t>
  </si>
  <si>
    <t>Multi-Year Allowance for Advanced Support and Software Maintenance for 1 Gig SFP Multimode 850</t>
  </si>
  <si>
    <t>SFP-502-AS</t>
  </si>
  <si>
    <t>4056-2-603</t>
  </si>
  <si>
    <t>12 Months Premium 24x7 Support and Software Maintenance for 1 Gig SFP Multimode 850</t>
  </si>
  <si>
    <t>SFP-502-PM</t>
  </si>
  <si>
    <t>4056-2-604</t>
  </si>
  <si>
    <t>12 Months Standard Support and Software Maintenance for 1 Gig SFP Multimode 850</t>
  </si>
  <si>
    <t>SFP-502-SM</t>
  </si>
  <si>
    <t>4056-2-606</t>
  </si>
  <si>
    <t>Multi-Year Allowance for Advanced Support and Software Maintenance for 1 Gig SFP Singlemode 1310</t>
  </si>
  <si>
    <t>SFP-503-AS</t>
  </si>
  <si>
    <t>4056-2-607</t>
  </si>
  <si>
    <t>12 Months Premium 24x7 Support and Software Maintenance for 1 Gig SFP Singlemode 1310</t>
  </si>
  <si>
    <t>SFP-503-PM</t>
  </si>
  <si>
    <t>4056-2-608</t>
  </si>
  <si>
    <t>12 Months Standard Support and Software Maintenance for 1 Gig SFP Singlemode 1310</t>
  </si>
  <si>
    <t>SFP-503-SM</t>
  </si>
  <si>
    <t>4056-2-610</t>
  </si>
  <si>
    <t>Multi-Year Allowance for Advanced Support and Software Maintenance for 1 Gig SFP Singlemode 1550 (Special Order)</t>
  </si>
  <si>
    <t>SFP-504-AS</t>
  </si>
  <si>
    <t>4056-2-611</t>
  </si>
  <si>
    <t>12 Months Premium 24x7 Support and Software Maintenance for 1 Gig SFP Singlemode 1550 (Special Order)</t>
  </si>
  <si>
    <t>SFP-504-PM</t>
  </si>
  <si>
    <t>4056-2-612</t>
  </si>
  <si>
    <t>12 Months Standard Support and Software Maintenance for 1 Gig SFP Singlemode 1550 (Special Order)</t>
  </si>
  <si>
    <t>SFP-504-SM</t>
  </si>
  <si>
    <t>4056-2-614</t>
  </si>
  <si>
    <t>Multi-Year Allowance for Advanced Support and Software Maintenance for 10 Gig SFP+ Multimode 850nm SR</t>
  </si>
  <si>
    <t>SFP-532-AS</t>
  </si>
  <si>
    <t>4056-2-615</t>
  </si>
  <si>
    <t>12 Months Premium 24x7 Support and Software Maintenance for 10 Gig SFP+ Multimode 850nm SR</t>
  </si>
  <si>
    <t>SFP-532-PM</t>
  </si>
  <si>
    <t>4056-2-616</t>
  </si>
  <si>
    <t>12 Months Standard Support and Software Maintenance for 10 Gig SFP+ Multimode 850nm SR</t>
  </si>
  <si>
    <t>SFP-532-SM</t>
  </si>
  <si>
    <t>4056-2-618</t>
  </si>
  <si>
    <t>Multi-Year Allowance for Advanced Support and Software Maintenance for 10 Gig SFP+ Singlemode 1310nm LR</t>
  </si>
  <si>
    <t>SFP-533-AS</t>
  </si>
  <si>
    <t>4056-2-619</t>
  </si>
  <si>
    <t>12 Months Premium 24x7 Support and Software Maintenance for 10 Gig SFP+ Singlemode 1310nm LR</t>
  </si>
  <si>
    <t>SFP-533-PM</t>
  </si>
  <si>
    <t>4056-2-620</t>
  </si>
  <si>
    <t>12 Months Standard Support and Software Maintenance for 10 Gig SFP+ Singlemode 1310nm LR</t>
  </si>
  <si>
    <t>SFP-533-SM</t>
  </si>
  <si>
    <t>4056-2-622</t>
  </si>
  <si>
    <t>Multi-Year Allowance for Advanced Support and Software Maintenance for 10 Gig SFP+ Singlemode 1550nm ER (Special Order)</t>
  </si>
  <si>
    <t>SFP-534-AS</t>
  </si>
  <si>
    <t>4056-2-623</t>
  </si>
  <si>
    <t>12 Months Premium 24x7 Support and Software Maintenance for 10 Gig SFP+ Singlemode 1550nm ER (Special Order)</t>
  </si>
  <si>
    <t>SFP-534-PM</t>
  </si>
  <si>
    <t>4056-2-624</t>
  </si>
  <si>
    <t>12 Months Standard Support and Software Maintenance for 10 Gig SFP+ Singlemode 1550nm ER (Special Order)</t>
  </si>
  <si>
    <t>SFP-534-SM</t>
  </si>
  <si>
    <t>4056-2-626</t>
  </si>
  <si>
    <t>Multi-Year Allowance for Advanced Support and Software Maintenance for 10 Gig SFP+ Multimode 1310nm LRM (Special Order)</t>
  </si>
  <si>
    <t>SFP-535-AS</t>
  </si>
  <si>
    <t>4056-2-627</t>
  </si>
  <si>
    <t>12 Months Premium 24x7 Support and Software Maintenance for 10 Gig SFP+ Multimode 1310nm LRM (Special Order)</t>
  </si>
  <si>
    <t>SFP-535-PM</t>
  </si>
  <si>
    <t>4056-2-628</t>
  </si>
  <si>
    <t>12 Months Standard Support and Software Maintenance for 10 Gig SFP+ Multimode 1310nm LRM (Special Order)</t>
  </si>
  <si>
    <t>SFP-535-SM</t>
  </si>
  <si>
    <t>4056-2-630</t>
  </si>
  <si>
    <t>Multi-Year Allowance for Advanced Support and Software Maintenance for GigaSMART 6 port 2404 blade only no licenses included on base model</t>
  </si>
  <si>
    <t>SMT-436-AS</t>
  </si>
  <si>
    <t>4056-2-631</t>
  </si>
  <si>
    <t>12 Months Premium 24x7 Support and Software Maintenance for GigaSMART 6 port 2404 blade only no licenses included on base model.</t>
  </si>
  <si>
    <t>SMT-436-PM</t>
  </si>
  <si>
    <t>4056-2-632</t>
  </si>
  <si>
    <t>12 Months Standard Support and Software Maintenance for GigaSMART 6 port 2404 blade only no licenses included on base model.</t>
  </si>
  <si>
    <t>SMT-436-SM</t>
  </si>
  <si>
    <t>4056-2-298</t>
  </si>
  <si>
    <t>12 Months Premium 24x7 Support and Software Maintenance for GigaVUE-2404 8 10G ports 4 1G ports DC power</t>
  </si>
  <si>
    <t>GVS-434-PM</t>
  </si>
  <si>
    <t>4056-2-299</t>
  </si>
  <si>
    <t>12 Months Standard Support and Software Maintenance for GigaVUE-2404 8 10G ports 4 1G ports DC power</t>
  </si>
  <si>
    <t>GVS-434-SM</t>
  </si>
  <si>
    <t>4056-2-301</t>
  </si>
  <si>
    <t>Multi-Year Allowance for Advanced Support and Software Maintenance for GigaVUE-HB1-0416 branch node 4 10G cages 8 1G cages 8 1G copper 2 Fan Trays Single AC power</t>
  </si>
  <si>
    <t>GVS-HB101-0416-AS</t>
  </si>
  <si>
    <t>4056-2-302</t>
  </si>
  <si>
    <t>12 Months Premium 24x7 Support and Software Maintenance for GigaVUE-HB1-0416 branch node 4 10G cages 8 1G cages 8 1G copper 2 Fan Trays Single AC power</t>
  </si>
  <si>
    <t>GVS-HB101-0416-PM</t>
  </si>
  <si>
    <t>4056-2-303</t>
  </si>
  <si>
    <t>12 Months Standard Support and Software Maintenance for GigaVUE-HB1-0416 branch node 4 10G cages 8 1G cages 8 1G copper 2 Fan Trays Single AC power</t>
  </si>
  <si>
    <t>GVS-HB101-0416-SM</t>
  </si>
  <si>
    <t>4056-2-305</t>
  </si>
  <si>
    <t>Multi-Year Allowance for Advanced Support and Software Maintenance for GigaVUE-HB1-0416 branch node 4 10G cages 8 1G cages 8 1G copper 2 Fan Trays Single DC power</t>
  </si>
  <si>
    <t>GVS-HB102-0416-AS</t>
  </si>
  <si>
    <t>4056-2-306</t>
  </si>
  <si>
    <t>12 Months Premium 24x7 Support and Software Maintenance for GigaVUE-HB1-0416 branch node 4 10G cages 8 1G cages 8 1G copper 2 Fan Trays Single DC power</t>
  </si>
  <si>
    <t>GVS-HB102-0416-PM</t>
  </si>
  <si>
    <t>4056-2-307</t>
  </si>
  <si>
    <t>12 Months Standard Support and Software Maintenance for GigaVUE-HB1-0416 branch node 4 10G cages 8 1G cages 8 1G copper 2 Fan Trays Single DC power</t>
  </si>
  <si>
    <t>GVS-HB102-0416-SM</t>
  </si>
  <si>
    <t>4056-2-309</t>
  </si>
  <si>
    <t>Multi-Year Allowance for Advanced Support and Software Maintenance for GigaVUE-HC2 base unit w/ chassis Control Card 1 Fan Tray CLI  2 power supplies AC power</t>
  </si>
  <si>
    <t>GVS-HC201-AS</t>
  </si>
  <si>
    <t>4056-2-310</t>
  </si>
  <si>
    <t>12 Months Premium 24x7 Support and Software Maintenance for GigaVUE-HC2 base unit w/ chassis Control Card 1 Fan Tray CLI 2 power supplies AC power</t>
  </si>
  <si>
    <t>GVS-HC201-PM</t>
  </si>
  <si>
    <t>4056-2-311</t>
  </si>
  <si>
    <t>12 Months Standard Support and Software Maintenance for GigaVUE-HC2 base unit w/ chassis Control Card 1 Fan Tray CLI 2 power supplies AC power</t>
  </si>
  <si>
    <t>GVS-HC201-SM</t>
  </si>
  <si>
    <t>4056-2-313</t>
  </si>
  <si>
    <t>Multi-Year Allowance for Advanced Support and Software Maintenance for GigaVUE-HC2 base unit w/ chassis Control Card 1 Fan Tray CLI  2 power supplies DC power</t>
  </si>
  <si>
    <t>GVS-HC202-AS</t>
  </si>
  <si>
    <t>4056-2-314</t>
  </si>
  <si>
    <t>12 Months Premium 24x7 Support and Software Maintenance for GigaVUE-HC2 base unit w/ chassis Control Card 1 Fan Tray CLI 2 power supplies DC power</t>
  </si>
  <si>
    <t>GVS-HC202-PM</t>
  </si>
  <si>
    <t>4056-2-315</t>
  </si>
  <si>
    <t>12 Months Standard Support and Software Maintenance for GigaVUE-HC2 base unit w/ chassis Control Card 1 Fan Tray CLI 2 power supplies DC power</t>
  </si>
  <si>
    <t>GVS-HC202-SM</t>
  </si>
  <si>
    <t>4056-2-316</t>
  </si>
  <si>
    <t>Multi-Year Allowance for Advanced Support and Software Maintenance for GigaVUE-HD4 base unit w/ chassis Control Card Fans CLI AC power</t>
  </si>
  <si>
    <t>GVS-HD401-AS</t>
  </si>
  <si>
    <t>4056-2-317</t>
  </si>
  <si>
    <t>12 Months Premium 24x7 Support and Software Maintenance for GigaVUE-HD4 base unit w/ chassis Control Card Fans CLI AC power</t>
  </si>
  <si>
    <t>GVS-HD401-PM</t>
  </si>
  <si>
    <t>4056-2-318</t>
  </si>
  <si>
    <t>12 Months Standard Support and Software Maintenance for GigaVUE-HD4 base unit w/ chassis Control Card Fans CLI AC power</t>
  </si>
  <si>
    <t>GVS-HD401-SM</t>
  </si>
  <si>
    <t>4056-2-319</t>
  </si>
  <si>
    <t>Multi-Year Allowance for Advanced Support and Software Maintenance for GigaVUE-HD4 base unit w/ chassis Control Card Fans CLI DC power</t>
  </si>
  <si>
    <t>GVS-HD402-AS</t>
  </si>
  <si>
    <t>4056-2-320</t>
  </si>
  <si>
    <t>12 Months Premium 24x7 Support and Software Maintenance for GigaVUE-HD4 base unit w/ chassis Control Card Fans CLI DC power</t>
  </si>
  <si>
    <t>GVS-HD402-PM</t>
  </si>
  <si>
    <t>4056-2-321</t>
  </si>
  <si>
    <t>12 Months Standard Support and Software Maintenance for GigaVUE-HD4 base unit w/ chassis Control Card Fans CLI DC power</t>
  </si>
  <si>
    <t>GVS-HD402-SM</t>
  </si>
  <si>
    <t>4056-2-323</t>
  </si>
  <si>
    <t>Multi-Year Allowance for Advanced Support and Software Maintenance for GigaVUE-HD4 base unit w/ chassis Version 2 Control Card Fans CLI AC power</t>
  </si>
  <si>
    <t>GVS-HD4A1-AS</t>
  </si>
  <si>
    <t>4056-2-324</t>
  </si>
  <si>
    <t>12 Months Premium 24x7 Support and Software Maintenance for GigaVUE-HD4 base unit w/ chassis Version 2 Control Card Fans CLI AC power</t>
  </si>
  <si>
    <t>GVS-HD4A1-PM</t>
  </si>
  <si>
    <t>4056-2-325</t>
  </si>
  <si>
    <t>12 Months Standard Support and Software Maintenance for GigaVUE-HD4 base unit w/ chassis Version 2 Control Card Fans CLI AC power</t>
  </si>
  <si>
    <t>GVS-HD4A1-SM</t>
  </si>
  <si>
    <t>4056-2-327</t>
  </si>
  <si>
    <t>Multi-Year Allowance for Advanced Support and Software Maintenance for GigaVUE-HD4 base unit w/ chassis Version 2 Control Card Fans CLI DC power</t>
  </si>
  <si>
    <t>GVS-HD4A2-AS</t>
  </si>
  <si>
    <t>4056-2-328</t>
  </si>
  <si>
    <t>12 Months Premium 24x7 Support and Software Maintenance for GigaVUE-HD4 base unit w/ chassis Version 2 Control Card Fans CLI DC power</t>
  </si>
  <si>
    <t>GVS-HD4A2-PM</t>
  </si>
  <si>
    <t>4056-2-329</t>
  </si>
  <si>
    <t>12 Months Standard Support and Software Maintenance for GigaVUE-HD4 base unit w/ chassis Version 2 Control Card Fans CLI DC power</t>
  </si>
  <si>
    <t>GVS-HD4A2-SM</t>
  </si>
  <si>
    <t>4056-2-330</t>
  </si>
  <si>
    <t>Multi-Year Allowance for Advanced Support and Software Maintenance for GigaVUE-HD8 base unit w/ chassis 2 Control Cards Fans CLI AC power</t>
  </si>
  <si>
    <t>GVS-HD801-AS</t>
  </si>
  <si>
    <t>4056-2-634</t>
  </si>
  <si>
    <t>Multi-Year Allowance for Advanced Support and Software Maintenance for GigaSMART-Base Configuration (Slice Masking Source Port) features module license per GigaSMART blade</t>
  </si>
  <si>
    <t>SMT-BSE-AS</t>
  </si>
  <si>
    <t>4056-2-635</t>
  </si>
  <si>
    <t>12 Months Premium 24x7 Support and Software Maintenance for GigaSMART-Base Configuration (Slice Masking Source Port) features module license per GigaSMART blade.</t>
  </si>
  <si>
    <t>SMT-BSE-PM</t>
  </si>
  <si>
    <t>4056-2-636</t>
  </si>
  <si>
    <t>12 Months Standard Support and Software Maintenance for GigaSMART-Base Configuration (Slice Masking Source Port) features module license per GigaSMART blade.</t>
  </si>
  <si>
    <t>SMT-BSE-SM</t>
  </si>
  <si>
    <t>4056-2-638</t>
  </si>
  <si>
    <t>Multi-Year Allowance for Advanced Support and Software Maintenance for GigaSMART-De-Duplication feature module license per GigaSMART blade</t>
  </si>
  <si>
    <t>SMT-DDP-AS</t>
  </si>
  <si>
    <t>4056-2-639</t>
  </si>
  <si>
    <t>12 Months Premium 24x7 Support and Software Maintenance for GigaSMART-De-Duplication feature module license per GigaSMART blade.</t>
  </si>
  <si>
    <t>SMT-DDP-PM</t>
  </si>
  <si>
    <t>4056-2-640</t>
  </si>
  <si>
    <t>12 Months Standard Support and Software Maintenance for GigaSMART-De-Duplication feature module license per GigaSMART blade.</t>
  </si>
  <si>
    <t>SMT-DDP-SM</t>
  </si>
  <si>
    <t>4056-2-642</t>
  </si>
  <si>
    <t>Multi-Year Allowance for Advanced Support and Software Maintenance for GigaSMART-Filtering feature module license per GigaSMART blade      (not released)</t>
  </si>
  <si>
    <t>SMT-FIL-AS</t>
  </si>
  <si>
    <t>4056-2-643</t>
  </si>
  <si>
    <t>12 Months Premium 24x7 Support and Software Maintenance for GigaSMART-Filtering feature module license per GigaSMART blade (not released).</t>
  </si>
  <si>
    <t>SMT-FIL-PM</t>
  </si>
  <si>
    <t>4056-2-644</t>
  </si>
  <si>
    <t>12 Months Standard Support and Software Maintenance for GigaSMART-Filtering feature module license per GigaSMART blade (not released).</t>
  </si>
  <si>
    <t>SMT-FIL-SM</t>
  </si>
  <si>
    <t>4056-2-646</t>
  </si>
  <si>
    <t>Multi-Year Allowance for Advanced Support and Software Maintenance for GigaSMART HB license Adaptive Packet Filtering feature</t>
  </si>
  <si>
    <t>SMT-HB0-APF-AS</t>
  </si>
  <si>
    <t>4056-2-647</t>
  </si>
  <si>
    <t>12 Months Premium 24x7 Support and Software Maintenance for GigaSMART HB license Adaptive Packet Filtering feature.</t>
  </si>
  <si>
    <t>SMT-HB0-APF-PM</t>
  </si>
  <si>
    <t>4056-2-648</t>
  </si>
  <si>
    <t>12 Months Standard Support and Software Maintenance for GigaSMART HB license Adaptive Packet Filtering feature.</t>
  </si>
  <si>
    <t>SMT-HB0-APF-SM</t>
  </si>
  <si>
    <t>4056-2-650</t>
  </si>
  <si>
    <t>Multi-Year Allowance for Advanced Support and Software Maintenance for GigaSMART HB license FlowVUE feature</t>
  </si>
  <si>
    <t>SMT-HB0-FVU-AS</t>
  </si>
  <si>
    <t>4056-2-651</t>
  </si>
  <si>
    <t>12 Months Premium 24x7 Support and Software Maintenance for GigaSMART HB license FlowVUE feature.</t>
  </si>
  <si>
    <t>SMT-HB0-FVU-PM</t>
  </si>
  <si>
    <t>4056-2-652</t>
  </si>
  <si>
    <t>12 Months Standard Support and Software Maintenance for GigaSMART HB license FlowVUE feature.</t>
  </si>
  <si>
    <t>SMT-HB0-FVU-SM</t>
  </si>
  <si>
    <t>4056-2-654</t>
  </si>
  <si>
    <t>Multi-Year Allowance for Advanced Support and Software Maintenance for GigaSMART HB license GTP Filtering &amp; Correlation feature 250K subscribers</t>
  </si>
  <si>
    <t>SMT-HB0-GTP250-AS</t>
  </si>
  <si>
    <t>4056-2-655</t>
  </si>
  <si>
    <t>12 Months Premium 24x7 Support and Software Maintenance for GigaSMART HB license GTP Filtering &amp; Correlation feature 250K subscribers.</t>
  </si>
  <si>
    <t>SMT-HB0-GTP250-PM</t>
  </si>
  <si>
    <t>4056-2-656</t>
  </si>
  <si>
    <t>12 Months Standard Support and Software Maintenance for GigaSMART HB license GTP Filtering &amp; Correlation feature 250K subscribers.</t>
  </si>
  <si>
    <t>SMT-HB0-GTP250-SM</t>
  </si>
  <si>
    <t>4056-2-658</t>
  </si>
  <si>
    <t>Multi-Year Allowance for Advanced Support and Software Maintenance for GigaSMART HB license NetFlow Generation feature</t>
  </si>
  <si>
    <t>SMT-HB0-NF1-AS</t>
  </si>
  <si>
    <t>4056-2-659</t>
  </si>
  <si>
    <t>12 Months Premium 24x7 Support and Software Maintenance for GigaSMART HB license NetFlow Generation feature.</t>
  </si>
  <si>
    <t>SMT-HB0-NF1-PM</t>
  </si>
  <si>
    <t>4056-2-660</t>
  </si>
  <si>
    <t>12 Months Standard Support and Software Maintenance for GigaSMART HB license NetFlow Generation feature.</t>
  </si>
  <si>
    <t>SMT-HB0-NF1-SM</t>
  </si>
  <si>
    <t>4056-2-662</t>
  </si>
  <si>
    <t>Multi-Year Allowance for Advanced Support and Software Maintenance for GigaSMART HB license SSL Decryption feature</t>
  </si>
  <si>
    <t>SMT-HB0-SSL-AS</t>
  </si>
  <si>
    <t>4056-2-663</t>
  </si>
  <si>
    <t>12 Months Premium 24x7 Support and Software Maintenance for GigaSMART HB license SSL Decryption feature.</t>
  </si>
  <si>
    <t>SMT-HB0-SSL-PM</t>
  </si>
  <si>
    <t>4056-2-664</t>
  </si>
  <si>
    <t>12 Months Standard Support and Software Maintenance for GigaSMART HB license SSL Decryption feature.</t>
  </si>
  <si>
    <t>SMT-HB0-SSL-SM</t>
  </si>
  <si>
    <t>4056-2-666</t>
  </si>
  <si>
    <t>Multi-Year Allowance for Advanced Support and Software Maintenance for GigaSMART HB license combo includes Slicing Masking &amp; Source Port features</t>
  </si>
  <si>
    <t>SMT-HB1-BSE-AS</t>
  </si>
  <si>
    <t>4056-2-667</t>
  </si>
  <si>
    <t>12 Months Premium 24x7 Support and Software Maintenance for GigaSMART HB license combo includes Slicing Masking &amp; Source Port features.</t>
  </si>
  <si>
    <t>SMT-HB1-BSE-PM</t>
  </si>
  <si>
    <t>4056-2-331</t>
  </si>
  <si>
    <t>12 Months Premium 24x7 Support and Software Maintenance for GigaVUE-HD8 base unit w/ chassis 2 Control Cards Fans CLI AC power</t>
  </si>
  <si>
    <t>GVS-HD801-PM</t>
  </si>
  <si>
    <t>4056-2-332</t>
  </si>
  <si>
    <t>12 Months Standard Support and Software Maintenance for GigaVUE-HD8 base unit w/ chassis 2 Control Cards Fans CLI AC power</t>
  </si>
  <si>
    <t>GVS-HD801-SM</t>
  </si>
  <si>
    <t>4056-2-333</t>
  </si>
  <si>
    <t>Multi-Year Allowance for Advanced Support and Software Maintenance for GigaVUE-HD8 base unit w/ chassis 2 Control Cards Fans CLI DC power</t>
  </si>
  <si>
    <t>GVS-HD802-AS</t>
  </si>
  <si>
    <t>4056-2-334</t>
  </si>
  <si>
    <t>12 Months Premium 24x7 Support and Software Maintenance for GigaVUE-HD8 base unit w/ chassis 2 Control Cards Fans CLI DC power</t>
  </si>
  <si>
    <t>GVS-HD802-PM</t>
  </si>
  <si>
    <t>4056-2-335</t>
  </si>
  <si>
    <t>12 Months Standard Support and Software Maintenance for GigaVUE-HD8 base unit w/ chassis 2 Control Cards Fans CLI DC power</t>
  </si>
  <si>
    <t>GVS-HD802-SM</t>
  </si>
  <si>
    <t>4056-2-337</t>
  </si>
  <si>
    <t>Multi-Year Allowance for Advanced Support and Software Maintenance for GigaVUE-HD8 base unit w/ chassis 2 Version 2 Control Cards Fans CLI AC power</t>
  </si>
  <si>
    <t>GVS-HD8A1-AS</t>
  </si>
  <si>
    <t>4056-2-338</t>
  </si>
  <si>
    <t>12 Months Premium 24x7 Support and Software Maintenance for GigaVUE-HD8 base unit w/ chassis 2 Version 2 Control Cards Fans CLI AC power</t>
  </si>
  <si>
    <t>GVS-HD8A1-PM</t>
  </si>
  <si>
    <t>4056-2-339</t>
  </si>
  <si>
    <t>12 Months Standard Support and Software Maintenance for GigaVUE-HD8 base unit w/ chassis 2 Version 2 Control Cards Fans CLI AC power</t>
  </si>
  <si>
    <t>GVS-HD8A1-SM</t>
  </si>
  <si>
    <t>4056-2-341</t>
  </si>
  <si>
    <t>Multi-Year Allowance for Advanced Support and Software Maintenance for GigaVUE-HD8 base unit w/ chassis 2 Version 2 Control Cards Fans CLI DC power</t>
  </si>
  <si>
    <t>GVS-HD8A2-AS</t>
  </si>
  <si>
    <t>4056-2-342</t>
  </si>
  <si>
    <t>12 Months Premium 24x7 Support and Software Maintenance for GigaVUE-HD8 base unit w/ chassis 2 Version 2 Control Cards Fans CLI DC power</t>
  </si>
  <si>
    <t>GVS-HD8A2-PM</t>
  </si>
  <si>
    <t>4056-2-364</t>
  </si>
  <si>
    <t>12 Months Standard Support and Software Maintenance for GigaVUE-HD8 base unit w/ chassis 2 Version 2 Control Cards Fans CLI DC power</t>
  </si>
  <si>
    <t>GVS-HD8A2-SM</t>
  </si>
  <si>
    <t>4056-2-365</t>
  </si>
  <si>
    <t>Multi-Year Allowance for Advanced Support and Software Maintenance for GigaVUE-TA1 traffic aggregator 24 10G ports enabled single power supply AC power</t>
  </si>
  <si>
    <t>GVS-TA101-AS</t>
  </si>
  <si>
    <t>4056-2-366</t>
  </si>
  <si>
    <t>12 Months Premium 24x7 Support and Software Maintenance for GigaVUE-TA1 traffic aggregator 24 10G ports enabled single power supply AC power</t>
  </si>
  <si>
    <t>GVS-TA101-PM</t>
  </si>
  <si>
    <t>4056-2-367</t>
  </si>
  <si>
    <t>12 Months Standard Support and Software Maintenance for GigaVUE-TA1 traffic aggregator 24 10G ports enabled single power supply AC power</t>
  </si>
  <si>
    <t>GVS-TA101-SM</t>
  </si>
  <si>
    <t>4056-2-368</t>
  </si>
  <si>
    <t>Multi-Year Allowance for Advanced Support and Software Maintenance for GigaVUE-TA1 traffic aggregator 24 10G ports enabled single power supply DC power</t>
  </si>
  <si>
    <t>GVS-TA102-AS</t>
  </si>
  <si>
    <t>4056-2-369</t>
  </si>
  <si>
    <t>12 Months Premium 24x7 Support and Software Maintenance for GigaVUE-TA1 traffic aggregator 24 10G ports enabled single power supply DC power</t>
  </si>
  <si>
    <t>GVS-TA102-PM</t>
  </si>
  <si>
    <t>4056-2-370</t>
  </si>
  <si>
    <t>12 Months Standard Support and Software Maintenance for GigaVUE-TA1 traffic aggregator 24 10G ports enabled single power supply DC power</t>
  </si>
  <si>
    <t>GVS-TA102-SM</t>
  </si>
  <si>
    <t>4056-2-372</t>
  </si>
  <si>
    <t>Multi-Year Allowance for Advanced Support and Software Maintenance for Power Brick for G-TAP A Series (AC to DC transformer)</t>
  </si>
  <si>
    <t>PBK-GTA01-AS</t>
  </si>
  <si>
    <t>4056-2-373</t>
  </si>
  <si>
    <t>12 Months Premium 24x7 Support and Software Maintenance for Power Brick for G-TAP A Series (AC to DC transformer)</t>
  </si>
  <si>
    <t>PBK-GTA01-PM</t>
  </si>
  <si>
    <t>4056-2-374</t>
  </si>
  <si>
    <t>12 Months Standard Support and Software Maintenance for Power Brick for G-TAP A Series (AC to DC transformer)</t>
  </si>
  <si>
    <t>PBK-GTA01-SM</t>
  </si>
  <si>
    <t>4056-2-376</t>
  </si>
  <si>
    <t>Multi-Year Allowance for Advanced Support and Software Maintenance for Power Brick for G-TAP A Series (AC to DC transformer) EU Plug</t>
  </si>
  <si>
    <t>PBK-GTA03-AS</t>
  </si>
  <si>
    <t>4056-2-377</t>
  </si>
  <si>
    <t>12 Months Premium 24x7 Support and Software Maintenance for Power Brick for G-TAP A Series (AC to DC transformer) EU Plug</t>
  </si>
  <si>
    <t>PBK-GTA03-PM</t>
  </si>
  <si>
    <t>4056-2-378</t>
  </si>
  <si>
    <t>12 Months Standard Support and Software Maintenance for Power Brick for G-TAP A Series (AC to DC transformer) EU Plug</t>
  </si>
  <si>
    <t>PBK-GTA03-SM</t>
  </si>
  <si>
    <t>4056-2-380</t>
  </si>
  <si>
    <t>Multi-Year Allowance for Advanced Support and Software Maintenance for Power Brick for G-TAP A Series (AC to DC transformer) UK Plug</t>
  </si>
  <si>
    <t>PBK-GTA05-AS</t>
  </si>
  <si>
    <t>4056-2-381</t>
  </si>
  <si>
    <t>12 Months Premium 24x7 Support and Software Maintenance for Power Brick for G-TAP A Series (AC to DC transformer) UK Plug</t>
  </si>
  <si>
    <t>PBK-GTA05-PM</t>
  </si>
  <si>
    <t>4056-2-382</t>
  </si>
  <si>
    <t>12 Months Standard Support and Software Maintenance for Power Brick for G-TAP A Series (AC to DC transformer) UK Plug</t>
  </si>
  <si>
    <t>PBK-GTA05-SM</t>
  </si>
  <si>
    <t>4056-2-384</t>
  </si>
  <si>
    <t>Multi-Year Allowance for Advanced Support and Software Maintenance for Power Brick for G-TAP A Series (AC to DC transformer) AU Plug</t>
  </si>
  <si>
    <t>PBK-GTA07-AS</t>
  </si>
  <si>
    <t>4056-2-385</t>
  </si>
  <si>
    <t>12 Months Premium 24x7 Support and Software Maintenance for Power Brick for G-TAP A Series (AC to DC transformer) AU Plug</t>
  </si>
  <si>
    <t>PBK-GTA07-PM</t>
  </si>
  <si>
    <t>4056-2-668</t>
  </si>
  <si>
    <t>12 Months Standard Support and Software Maintenance for GigaSMART HB license combo includes Slicing Masking &amp; Source Port features.</t>
  </si>
  <si>
    <t>SMT-HB1-BSE-SM</t>
  </si>
  <si>
    <t>4056-2-670</t>
  </si>
  <si>
    <t>Multi-Year Allowance for Advanced Support and Software Maintenance for GigaSMART HB license De-Duplication feature</t>
  </si>
  <si>
    <t>SMT-HB1-DD1-AS</t>
  </si>
  <si>
    <t>4056-2-671</t>
  </si>
  <si>
    <t>12 Months Premium 24x7 Support and Software Maintenance for GigaSMART HB license De-Duplication feature.</t>
  </si>
  <si>
    <t>SMT-HB1-DD1-PM</t>
  </si>
  <si>
    <t>4056-2-672</t>
  </si>
  <si>
    <t>12 Months Standard Support and Software Maintenance for GigaSMART HB license De-Duplication feature.</t>
  </si>
  <si>
    <t>SMT-HB1-DD1-SM</t>
  </si>
  <si>
    <t>4056-2-674</t>
  </si>
  <si>
    <t>Multi-Year Allowance for Advanced Support and Software Maintenance for GigaSMART HB license Header Stripping feature</t>
  </si>
  <si>
    <t>SMT-HB1-HS1-AS</t>
  </si>
  <si>
    <t>4056-2-675</t>
  </si>
  <si>
    <t>12 Months Premium 24x7 Support and Software Maintenance for GigaSMART HB license Header Stripping feature.</t>
  </si>
  <si>
    <t>SMT-HB1-HS1-PM</t>
  </si>
  <si>
    <t>4056-2-676</t>
  </si>
  <si>
    <t>12 Months Standard Support and Software Maintenance for GigaSMART HB license Header Stripping feature.</t>
  </si>
  <si>
    <t>SMT-HB1-HS1-SM</t>
  </si>
  <si>
    <t>4056-2-678</t>
  </si>
  <si>
    <t>Multi-Year Allowance for Advanced Support and Software Maintenance for GigaSMART HB license Tunneling feature (includes ERSPAN De-Encapsulation)</t>
  </si>
  <si>
    <t>SMT-HB1-TUN-AS</t>
  </si>
  <si>
    <t>4056-2-679</t>
  </si>
  <si>
    <t>12 Months Premium 24x7 Support and Software Maintenance for GigaSMART HB license Tunneling feature (includes ERSPAN De-Encapsulation).</t>
  </si>
  <si>
    <t>SMT-HB1-TUN-PM</t>
  </si>
  <si>
    <t>4056-2-680</t>
  </si>
  <si>
    <t>12 Months Standard Support and Software Maintenance for GigaSMART HB license Tunneling feature (includes ERSPAN De-Encapsulation).</t>
  </si>
  <si>
    <t>SMT-HB1-TUN-SM</t>
  </si>
  <si>
    <t>4056-2-682</t>
  </si>
  <si>
    <t>Multi-Year Allowance for Advanced Support and Software Maintenance for GigaSMART HC Series Adaptive Packet Filtering feature license per GigaSMART module</t>
  </si>
  <si>
    <t>SMT-HC0-APF-AS</t>
  </si>
  <si>
    <t>4056-2-683</t>
  </si>
  <si>
    <t>12 Months Premium 24x7 Support and Software Maintenance for GigaSMART HC Series Adaptive Packet Filtering feature license per GigaSMART module.</t>
  </si>
  <si>
    <t>SMT-HC0-APF-PM</t>
  </si>
  <si>
    <t>4056-2-684</t>
  </si>
  <si>
    <t>12 Months Standard Support and Software Maintenance for GigaSMART HC Series Adaptive Packet Filtering feature license per GigaSMART module.</t>
  </si>
  <si>
    <t>SMT-HC0-APF-SM</t>
  </si>
  <si>
    <t>4056-2-686</t>
  </si>
  <si>
    <t>Multi-Year Allowance for Advanced Support and Software Maintenance for GigaSMART HC Series Advanced Tunneling feature license per GigaSMART module</t>
  </si>
  <si>
    <t>SMT-HC0-AT1-AS</t>
  </si>
  <si>
    <t>4056-2-687</t>
  </si>
  <si>
    <t>12 Months Premium 24x7 Support and Software Maintenance for GigaSMART HC Series Advanced Tunneling feature license per GigaSMART module.</t>
  </si>
  <si>
    <t>SMT-HC0-AT1-PM</t>
  </si>
  <si>
    <t>4056-2-688</t>
  </si>
  <si>
    <t>12 Months Standard Support and Software Maintenance for GigaSMART HC Series Advanced Tunneling feature license per GigaSMART module.</t>
  </si>
  <si>
    <t>SMT-HC0-AT1-SM</t>
  </si>
  <si>
    <t>4056-2-690</t>
  </si>
  <si>
    <t>Multi-Year Allowance for Advanced Support and Software Maintenance for GigaSMART HC Series De-Duplication feature license per GigaSMART module</t>
  </si>
  <si>
    <t>SMT-HC0-DD1-AS</t>
  </si>
  <si>
    <t>4056-2-691</t>
  </si>
  <si>
    <t>12 Months Premium 24x7 Support and Software Maintenance for GigaSMART HC Series De-Duplication feature license per GigaSMART module.</t>
  </si>
  <si>
    <t>SMT-HC0-DD1-PM</t>
  </si>
  <si>
    <t>4056-2-692</t>
  </si>
  <si>
    <t>12 Months Standard Support and Software Maintenance for GigaSMART HC Series De-Duplication feature license per GigaSMART module.</t>
  </si>
  <si>
    <t>SMT-HC0-DD1-SM</t>
  </si>
  <si>
    <t>4056-2-694</t>
  </si>
  <si>
    <t>Multi-Year Allowance for Advanced Support and Software Maintenance for GigaSMART HC Series FlowVUE feature license per GigaSMART module</t>
  </si>
  <si>
    <t>SMT-HC0-FVU-AS</t>
  </si>
  <si>
    <t>4056-2-695</t>
  </si>
  <si>
    <t>12 Months Premium 24x7 Support and Software Maintenance for GigaSMART HC Series FlowVUE feature license per GigaSMART module.</t>
  </si>
  <si>
    <t>SMT-HC0-FVU-PM</t>
  </si>
  <si>
    <t>4056-2-696</t>
  </si>
  <si>
    <t>12 Months Standard Support and Software Maintenance for GigaSMART HC Series FlowVUE feature license per GigaSMART module.</t>
  </si>
  <si>
    <t>SMT-HC0-FVU-SM</t>
  </si>
  <si>
    <t>4056-2-698</t>
  </si>
  <si>
    <t>Multi-Year Allowance for Advanced Support and Software Maintenance for GigaSMART HC Series GTP Filtering &amp; Correlation feature license per GigaSMART module 250K subscribers</t>
  </si>
  <si>
    <t>SMT-HC0-GTP250-AS</t>
  </si>
  <si>
    <t>4056-2-699</t>
  </si>
  <si>
    <t>12 Months Premium 24x7 Support and Software Maintenance for GigaSMART HC Series GTP Filtering &amp; Correlation feature license per GigaSMART module 250K subscribers.</t>
  </si>
  <si>
    <t>SMT-HC0-GTP250-PM</t>
  </si>
  <si>
    <t>4056-2-700</t>
  </si>
  <si>
    <t>12 Months Standard Support and Software Maintenance for GigaSMART HC Series GTP Filtering &amp; Correlation feature license per GigaSMART module 250K subscribers.</t>
  </si>
  <si>
    <t>SMT-HC0-GTP250-SM</t>
  </si>
  <si>
    <t>4056-2-386</t>
  </si>
  <si>
    <t>12 Months Standard Support and Software Maintenance for Power Brick for G-TAP A Series (AC to DC transformer) AU Plug</t>
  </si>
  <si>
    <t>PBK-GTA07-SM</t>
  </si>
  <si>
    <t>4056-2-388</t>
  </si>
  <si>
    <t>Multi-Year Allowance for Advanced Support and Software Maintenance for Spare Power Cord 125VAC</t>
  </si>
  <si>
    <t>PCD-00001-AS</t>
  </si>
  <si>
    <t>4056-2-389</t>
  </si>
  <si>
    <t>12 Months Premium 24x7 Support and Software Maintenance for Spare Power Cord 125VAC</t>
  </si>
  <si>
    <t>PCD-00001-PM</t>
  </si>
  <si>
    <t>4056-2-390</t>
  </si>
  <si>
    <t>12 Months Standard Support and Software Maintenance for Spare Power Cord 125VAC</t>
  </si>
  <si>
    <t>PCD-00001-SM</t>
  </si>
  <si>
    <t>4056-2-392</t>
  </si>
  <si>
    <t>Multi-Year Allowance for Advanced Support and Software Maintenance for Power Cord EU plug</t>
  </si>
  <si>
    <t>PCD-00003-AS</t>
  </si>
  <si>
    <t>4056-2-393</t>
  </si>
  <si>
    <t>12 Months Premium 24x7 Support and Software Maintenance for Power Cord EU plug</t>
  </si>
  <si>
    <t>PCD-00003-PM</t>
  </si>
  <si>
    <t>4056-2-394</t>
  </si>
  <si>
    <t>12 Months Standard Support and Software Maintenance for Power Cord EU plug</t>
  </si>
  <si>
    <t>PCD-00003-SM</t>
  </si>
  <si>
    <t>4056-2-396</t>
  </si>
  <si>
    <t>Multi-Year Allowance for Advanced Support and Software Maintenance for Power Cord UK plug</t>
  </si>
  <si>
    <t>PCD-00005-AS</t>
  </si>
  <si>
    <t>4056-2-397</t>
  </si>
  <si>
    <t>12 Months Premium 24x7 Support and Software Maintenance for Power Cord UK plug</t>
  </si>
  <si>
    <t>PCD-00005-PM</t>
  </si>
  <si>
    <t>4056-2-398</t>
  </si>
  <si>
    <t>12 Months Standard Support and Software Maintenance for Power Cord UK plug</t>
  </si>
  <si>
    <t>PCD-00005-SM</t>
  </si>
  <si>
    <t>4056-2-400</t>
  </si>
  <si>
    <t>Multi-Year Allowance for Advanced Support and Software Maintenance for Power Cord AU plug</t>
  </si>
  <si>
    <t>PCD-00007-AS</t>
  </si>
  <si>
    <t>4056-2-401</t>
  </si>
  <si>
    <t>12 Months Premium 24x7 Support and Software Maintenance for Power Cord AU plug</t>
  </si>
  <si>
    <t>PCD-00007-PM</t>
  </si>
  <si>
    <t>4056-2-402</t>
  </si>
  <si>
    <t>12 Months Standard Support and Software Maintenance for Power Cord AU plug</t>
  </si>
  <si>
    <t>PCD-00007-SM</t>
  </si>
  <si>
    <t>4056-2-404</t>
  </si>
  <si>
    <t>12 Months Premium 24x7 Support and Software Maintenance for TAP module HC Series SX/SR Internal TAP Module 50/125 12 TAPs</t>
  </si>
  <si>
    <t>TAP-HC0-D25AC0-PM</t>
  </si>
  <si>
    <t>4056-2-405</t>
  </si>
  <si>
    <t>12 Months Standard Support and Software Maintenance for TAP module HC Series SX/SR Internal TAP Module 50/125 12 TAPs</t>
  </si>
  <si>
    <t>TAP-HC0-D25AC0-SM</t>
  </si>
  <si>
    <t>4056-2-407</t>
  </si>
  <si>
    <t>Multi-Year Allowance for Advanced Support and Software Maintenance for TAP module HC Series SX/SR Internal TAP Module 62.5/125 12 TAPs</t>
  </si>
  <si>
    <t>TAP-HC0-D25BC0-AS</t>
  </si>
  <si>
    <t>4056-2-448</t>
  </si>
  <si>
    <t>12 Months Premium 24x7 Support and Software Maintenance for TAP module HC Series SX/SR Internal TAP Module 62.5/125 12 TAPs</t>
  </si>
  <si>
    <t>TAP-HC0-D25BC0-PM</t>
  </si>
  <si>
    <t>4056-2-449</t>
  </si>
  <si>
    <t>12 Months Standard Support and Software Maintenance for TAP module HC Series SX/SR Internal TAP Module 62.5/125 12 TAPs</t>
  </si>
  <si>
    <t>TAP-HC0-D25BC0-SM</t>
  </si>
  <si>
    <t>4056-2-451</t>
  </si>
  <si>
    <t>Multi-Year Allowance for Advanced Support and Software Maintenance for TAP module HC Series LX/LR Internal TAP Module 12 TAPs</t>
  </si>
  <si>
    <t>TAP-HC0-D35CC0-AS</t>
  </si>
  <si>
    <t>4056-2-452</t>
  </si>
  <si>
    <t>12 Months Premium 24x7 Support and Software Maintenance for TAP module HC Series LX/LR Internal TAP Module 12 TAPs</t>
  </si>
  <si>
    <t>TAP-HC0-D35CC0-PM</t>
  </si>
  <si>
    <t>4056-2-453</t>
  </si>
  <si>
    <t>12 Months Standard Support and Software Maintenance for TAP module HC Series LX/LR Internal TAP Module 12 TAPs</t>
  </si>
  <si>
    <t>TAP-HC0-D35CC0-SM</t>
  </si>
  <si>
    <t>4056-2-455</t>
  </si>
  <si>
    <t>Multi-Year Allowance for Advanced Support and Software Maintenance for TAP module HC Series Copper 12 TAPs</t>
  </si>
  <si>
    <t>TAP-HC0-G100C0-AS</t>
  </si>
  <si>
    <t>4056-2-456</t>
  </si>
  <si>
    <t>12 Months Premium 24x7 Support and Software Maintenance for TAP module HC Series Copper 12 TAPs</t>
  </si>
  <si>
    <t>TAP-HC0-G100C0-PM</t>
  </si>
  <si>
    <t>4056-2-457</t>
  </si>
  <si>
    <t>12 Months Standard Support and Software Maintenance for TAP module HC Series Copper 12 TAPs</t>
  </si>
  <si>
    <t>TAP-HC0-G100C0-SM</t>
  </si>
  <si>
    <t>4056-2-458</t>
  </si>
  <si>
    <t>Multi-Year Allowance for Advanced Support and Software Maintenance for One day H Series Installation and QA Confirmation (EOS)</t>
  </si>
  <si>
    <t>TRN-INST-AS</t>
  </si>
  <si>
    <t>4056-2-459</t>
  </si>
  <si>
    <t>12 Months Premium 24x7 Support and Software Maintenance for One day H Series Installation and QA Confirmation (EOS)</t>
  </si>
  <si>
    <t>TRN-INST-PM</t>
  </si>
  <si>
    <t>4056-2-460</t>
  </si>
  <si>
    <t>12 Months Standard Support and Software Maintenance for One day H Series Installation and QA Confirmation (EOS)</t>
  </si>
  <si>
    <t>TRN-INST-SM</t>
  </si>
  <si>
    <t>4056-2-462</t>
  </si>
  <si>
    <t>Multi-Year Allowance for Advanced Support and Software Maintenance for Upgrade option to enable all GigaVUE-TA1 ports (48 10G + 4 40G)</t>
  </si>
  <si>
    <t>UPG-TA100-AS</t>
  </si>
  <si>
    <t>4056-2-463</t>
  </si>
  <si>
    <t>12 Months Premium 24x7 Support and Software Maintenance for Upgrade option to enable all GigaVUE-TA1 ports (48 10G + 4 40G).</t>
  </si>
  <si>
    <t>UPG-TA100-PM</t>
  </si>
  <si>
    <t>4056-2-464</t>
  </si>
  <si>
    <t>12 Months Standard Support and Software Maintenance for Upgrade option to enable all GigaVUE-TA1 ports (48 10G + 4 40G).</t>
  </si>
  <si>
    <t>UPG-TA100-SM</t>
  </si>
  <si>
    <t>4056-2-702</t>
  </si>
  <si>
    <t>Multi-Year Allowance for Advanced Support and Software Maintenance for GigaSMART HC Series GTP Filtering &amp; Correlation feature license per GigaSMART module 500K subscribers</t>
  </si>
  <si>
    <t>SMT-HC0-GTP500-AS</t>
  </si>
  <si>
    <t>4056-2-703</t>
  </si>
  <si>
    <t>12 Months Premium 24x7 Support and Software Maintenance for GigaSMART HC Series GTP Filtering &amp; Correlation feature license per GigaSMART module 500K subscribers.</t>
  </si>
  <si>
    <t>SMT-HC0-GTP500-PM</t>
  </si>
  <si>
    <t>4056-2-704</t>
  </si>
  <si>
    <t>12 Months Standard Support and Software Maintenance for GigaSMART HC Series GTP Filtering &amp; Correlation feature license per GigaSMART module 500K subscribers.</t>
  </si>
  <si>
    <t>SMT-HC0-GTP500-SM</t>
  </si>
  <si>
    <t>4056-2-706</t>
  </si>
  <si>
    <t>Multi-Year Allowance for Advanced Support and Software Maintenance for GigaSMART HC Series GTP Filtering &amp; Correlation feature license per GigaSMART module Maximum subscribers</t>
  </si>
  <si>
    <t>SMT-HC0-GTPMAX-AS</t>
  </si>
  <si>
    <t>4056-2-707</t>
  </si>
  <si>
    <t>12 Months Premium 24x7 Support and Software Maintenance for GigaSMART HC Series GTP Filtering &amp; Correlation feature license per GigaSMART module Maximum subscribers.</t>
  </si>
  <si>
    <t>SMT-HC0-GTPMAX-PM</t>
  </si>
  <si>
    <t>4056-2-708</t>
  </si>
  <si>
    <t>12 Months Standard Support and Software Maintenance for GigaSMART HC Series GTP Filtering &amp; Correlation feature license per GigaSMART module Maximum subscribers.</t>
  </si>
  <si>
    <t>SMT-HC0-GTPMAX-SM</t>
  </si>
  <si>
    <t>4056-2-710</t>
  </si>
  <si>
    <t>Multi-Year Allowance for Advanced Support and Software Maintenance for GigaSMART HC Series Header Stripping feature license per GigaSMART module</t>
  </si>
  <si>
    <t>SMT-HC0-HS1-AS</t>
  </si>
  <si>
    <t>4056-2-711</t>
  </si>
  <si>
    <t>12 Months Premium 24x7 Support and Software Maintenance for GigaSMART HC Series Header Stripping feature license per GigaSMART module.</t>
  </si>
  <si>
    <t>SMT-HC0-HS1-PM</t>
  </si>
  <si>
    <t>4056-2-712</t>
  </si>
  <si>
    <t>12 Months Standard Support and Software Maintenance for GigaSMART HC Series Header Stripping feature license per GigaSMART module.</t>
  </si>
  <si>
    <t>SMT-HC0-HS1-SM</t>
  </si>
  <si>
    <t>4056-2-714</t>
  </si>
  <si>
    <t>Multi-Year Allowance for Advanced Support and Software Maintenance for GigaSMART HC Series NetFlow Generation feature license per GigaSMART module</t>
  </si>
  <si>
    <t>SMT-HC0-NF1-AS</t>
  </si>
  <si>
    <t>4056-2-715</t>
  </si>
  <si>
    <t>12 Months Premium 24x7 Support and Software Maintenance for GigaSMART HC Series NetFlow Generation feature license per GigaSMART module.</t>
  </si>
  <si>
    <t>SMT-HC0-NF1-PM</t>
  </si>
  <si>
    <t>4056-2-716</t>
  </si>
  <si>
    <t>12 Months Standard Support and Software Maintenance for GigaSMART HC Series NetFlow Generation feature license per GigaSMART module.</t>
  </si>
  <si>
    <t>SMT-HC0-NF1-SM</t>
  </si>
  <si>
    <t>4056-2-718</t>
  </si>
  <si>
    <t>Multi-Year Allowance for Advanced Support and Software Maintenance for GigaSMART HC Series rear module (includes Slicing Masking Source Port &amp; GigaVUE Tunneling De-Encapsulation SW)</t>
  </si>
  <si>
    <t>SMT-HC0-R-AS</t>
  </si>
  <si>
    <t>4056-2-719</t>
  </si>
  <si>
    <t>12 Months Premium 24x7 Support and Software Maintenance for GigaSMART HC Series rear module (includes Slicing Masking Source Port &amp; GigaVUE Tunneling De-Encapsulation SW).</t>
  </si>
  <si>
    <t>SMT-HC0-R-PM</t>
  </si>
  <si>
    <t>4056-2-720</t>
  </si>
  <si>
    <t>12 Months Standard Support and Software Maintenance for GigaSMART HC Series rear module (includes Slicing Masking Source Port &amp; GigaVUE Tunneling De-Encapsulation SW).</t>
  </si>
  <si>
    <t>SMT-HC0-R-SM</t>
  </si>
  <si>
    <t>4056-2-722</t>
  </si>
  <si>
    <t>Multi-Year Allowance for Advanced Support and Software Maintenance for GigaSMART HC Series SSL Decryption feature license per GigaSMART module</t>
  </si>
  <si>
    <t>SMT-HC0-SSL-AS</t>
  </si>
  <si>
    <t>4056-2-723</t>
  </si>
  <si>
    <t>12 Months Premium 24x7 Support and Software Maintenance for GigaSMART HC Series SSL Decryption feature license per GigaSMART module.</t>
  </si>
  <si>
    <t>SMT-HC0-SSL-PM</t>
  </si>
  <si>
    <t>4056-2-724</t>
  </si>
  <si>
    <t>12 Months Standard Support and Software Maintenance for GigaSMART HC Series SSL Decryption feature license per GigaSMART module.</t>
  </si>
  <si>
    <t>SMT-HC0-SSL-SM</t>
  </si>
  <si>
    <t>4056-2-726</t>
  </si>
  <si>
    <t>Multi-Year Allowance for Advanced Support and Software Maintenance for GigaSMART HC Series Front Module 16 10G cages (includes Slicing Masking Source Port &amp; GigaVUE Tunneling De-Encapsulation SW)</t>
  </si>
  <si>
    <t>SMT-HC0-X16-AS</t>
  </si>
  <si>
    <t>4056-2-727</t>
  </si>
  <si>
    <t>12 Months Premium 24x7 Support and Software Maintenance for GigaSMART HC Series Front Module 16 10G cages (includes Slicing Masking Source Port &amp; GigaVUE Tunneling De-Encapsulation SW).</t>
  </si>
  <si>
    <t>SMT-HC0-X16-PM</t>
  </si>
  <si>
    <t>4056-2-728</t>
  </si>
  <si>
    <t>12 Months Standard Support and Software Maintenance for GigaSMART HC Series Front Module 16 10G cages (includes Slicing Masking Source Port &amp; GigaVUE Tunneling De-Encapsulation SW).</t>
  </si>
  <si>
    <t>SMT-HC0-X16-SM</t>
  </si>
  <si>
    <t>4056-2-731</t>
  </si>
  <si>
    <t>Multi-Year Allowance for Advanced Support and Software Maintenance for GigaSMART HD Series Adaptive Packet Filtering feature license per GigaSMART blade</t>
  </si>
  <si>
    <t>SMT-HD0-APF-AS</t>
  </si>
  <si>
    <t>4056-2-732</t>
  </si>
  <si>
    <t>12 Months Premium 24x7 Support and Software Maintenance for GigaSMART HD Series Adaptive Packet Filtering feature license per GigaSMART blade.</t>
  </si>
  <si>
    <t>SMT-HD0-APF-PM</t>
  </si>
  <si>
    <t>4056-2-733</t>
  </si>
  <si>
    <t>12 Months Standard Support and Software Maintenance for GigaSMART HD Series Adaptive Packet Filtering feature license per GigaSMART blade.</t>
  </si>
  <si>
    <t>SMT-HD0-APF-SM</t>
  </si>
  <si>
    <t>4056-2-734</t>
  </si>
  <si>
    <t>Multi-Year Allowance for Advanced Support and Software Maintenance for GigaSMART HD Series blade (includes Slicing Masking Source Port &amp; GigaVUE Tunneling De-Encapsulation SW)</t>
  </si>
  <si>
    <t>SMT-HD0-AS</t>
  </si>
  <si>
    <t>4056-2-736</t>
  </si>
  <si>
    <t>Multi-Year Allowance for Advanced Support and Software Maintenance for GigaSMART HD Series Advanced Tunneling feature license per GigaSMART blade</t>
  </si>
  <si>
    <t>SMT-HD0-AT1-AS</t>
  </si>
  <si>
    <t>4056-2-737</t>
  </si>
  <si>
    <t>12 Months Premium 24x7 Support and Software Maintenance for GigaSMART HD Series Advanced Tunneling feature license per GigaSMART blade.</t>
  </si>
  <si>
    <t>SMT-HD0-AT1-PM</t>
  </si>
  <si>
    <t>4056-2-738</t>
  </si>
  <si>
    <t>12 Months Standard Support and Software Maintenance for GigaSMART HD Series Advanced Tunneling feature license per GigaSMART blade.</t>
  </si>
  <si>
    <t>SMT-HD0-AT1-SM</t>
  </si>
  <si>
    <t>4056-2-740</t>
  </si>
  <si>
    <t>Multi-Year Allowance for Advanced Support and Software Maintenance for GigaSMART HD Series De-Duplication feature license per GigaSMART blade</t>
  </si>
  <si>
    <t>SMT-HD0-DD1-AS</t>
  </si>
  <si>
    <t>4056-2-741</t>
  </si>
  <si>
    <t>12 Months Premium 24x7 Support and Software Maintenance for GigaSMART HD Series De-Duplication feature license per GigaSMART blade.</t>
  </si>
  <si>
    <t>SMT-HD0-DD1-PM</t>
  </si>
  <si>
    <t>4056-2-742</t>
  </si>
  <si>
    <t>12 Months Standard Support and Software Maintenance for GigaSMART HD Series De-Duplication feature license per GigaSMART blade.</t>
  </si>
  <si>
    <t>SMT-HD0-DD1-SM</t>
  </si>
  <si>
    <t>4056-2-744</t>
  </si>
  <si>
    <t>Multi-Year Allowance for Advanced Support and Software Maintenance for GigaSMART HD Series FlowVUE feature license per GigaSMART blade</t>
  </si>
  <si>
    <t>SMT-HD0-FVU-AS</t>
  </si>
  <si>
    <t>4056-2-745</t>
  </si>
  <si>
    <t>12 Months Premium 24x7 Support and Software Maintenance for GigaSMART HD Series FlowVUE feature license per GigaSMART blade.</t>
  </si>
  <si>
    <t>SMT-HD0-FVU-PM</t>
  </si>
  <si>
    <t>4056-2-746</t>
  </si>
  <si>
    <t>12 Months Standard Support and Software Maintenance for GigaSMART HD Series FlowVUE feature license per GigaSMART blade. Perpetual</t>
  </si>
  <si>
    <t>SMT-HD0-FVU-SM</t>
  </si>
  <si>
    <t>4056-2-748</t>
  </si>
  <si>
    <t>Multi-Year Allowance for Advanced Support and Software Maintenance for GigaSMART HD Series GTP Filtering &amp; Correlation feature license per GigaSMART blade 250K subscribers</t>
  </si>
  <si>
    <t>SMT-HD0-GTP250-AS</t>
  </si>
  <si>
    <t>4056-2-749</t>
  </si>
  <si>
    <t>12 Months Premium 24x7 Support and Software Maintenance for GigaSMART HD Series GTP Filtering &amp; Correlation feature license per GigaSMART blade 250K subscribers.</t>
  </si>
  <si>
    <t>SMT-HD0-GTP250-PM</t>
  </si>
  <si>
    <t>4056-2-750</t>
  </si>
  <si>
    <t>12 Months Standard Support and Software Maintenance for GigaSMART HD Series GTP Filtering &amp; Correlation feature license per GigaSMART blade 250K subscribers.</t>
  </si>
  <si>
    <t>SMT-HD0-GTP250-SM</t>
  </si>
  <si>
    <t>4056-2-752</t>
  </si>
  <si>
    <t>Multi-Year Allowance for Advanced Support and Software Maintenance for GigaSMART HD Series GTP Filtering &amp; Correlation feature license per GigaSMART blade 500K subscribers</t>
  </si>
  <si>
    <t>SMT-HD0-GTP500-AS</t>
  </si>
  <si>
    <t>4056-2-753</t>
  </si>
  <si>
    <t>12 Months Premium 24x7 Support and Software Maintenance for GigaSMART HD Series GTP Filtering &amp; Correlation feature license per GigaSMART blade 500K subscribers.</t>
  </si>
  <si>
    <t>SMT-HD0-GTP500-PM</t>
  </si>
  <si>
    <t>4056-2-754</t>
  </si>
  <si>
    <t>12 Months Standard Support and Software Maintenance for GigaSMART HD Series GTP Filtering &amp; Correlation feature license per GigaSMART blade 500K subscribers.</t>
  </si>
  <si>
    <t>SMT-HD0-GTP500-SM</t>
  </si>
  <si>
    <t>4056-2-756</t>
  </si>
  <si>
    <t>Multi-Year Allowance for Advanced Support and Software Maintenance for GigaSMART HD Series GTP Filtering &amp; Correlation feature license per GigaSMART blade Maximum subscribers</t>
  </si>
  <si>
    <t>SMT-HD0-GTPMAX-AS</t>
  </si>
  <si>
    <t>4056-2-757</t>
  </si>
  <si>
    <t>12 Months Premium 24x7 Support and Software Maintenance for GigaSMART HD Series GTP Filtering &amp; Correlation feature license per GigaSMART blade Maximum subscribers.</t>
  </si>
  <si>
    <t>SMT-HD0-GTPMAX-PM</t>
  </si>
  <si>
    <t>4056-2-758</t>
  </si>
  <si>
    <t>12 Months Standard Support and Software Maintenance for GigaSMART HD Series GTP Filtering &amp; Correlation feature license per GigaSMART blade Maximum subscribers.</t>
  </si>
  <si>
    <t>SMT-HD0-GTPMAX-SM</t>
  </si>
  <si>
    <t>4056-2-760</t>
  </si>
  <si>
    <t>Multi-Year Allowance for Advanced Support and Software Maintenance for GigaSMART HD Series Header Stripping feature license per GigaSMART blade</t>
  </si>
  <si>
    <t>SMT-HD0-HS1-AS</t>
  </si>
  <si>
    <t>4056-2-761</t>
  </si>
  <si>
    <t>12 Months Premium 24x7 Support and Software Maintenance for GigaSMART HD Series Header Stripping feature license per GigaSMART blade.</t>
  </si>
  <si>
    <t>SMT-HD0-HS1-PM</t>
  </si>
  <si>
    <t>4056-2-762</t>
  </si>
  <si>
    <t>12 Months Standard Support and Software Maintenance for GigaSMART HD Series Header Stripping feature license per GigaSMART blade.</t>
  </si>
  <si>
    <t>SMT-HD0-HS1-SM</t>
  </si>
  <si>
    <t>4056-2-764</t>
  </si>
  <si>
    <t>Multi-Year Allowance for Advanced Support and Software Maintenance for GigaSMART HD Series NetFlow Generation feature license per GigaSMART blade</t>
  </si>
  <si>
    <t>SMT-HD0-NF1-AS</t>
  </si>
  <si>
    <t>4056-2-765</t>
  </si>
  <si>
    <t>12 Months Premium 24x7 Support and Software Maintenance for GigaSMART HD Series NetFlow Generation feature license per GigaSMART blade.</t>
  </si>
  <si>
    <t>SMT-HD0-NF1-PM</t>
  </si>
  <si>
    <t>4056-2-766</t>
  </si>
  <si>
    <t>12 Months Standard Support and Software Maintenance for GigaSMART HD Series NetFlow Generation feature license per GigaSMART blade.</t>
  </si>
  <si>
    <t>SMT-HD0-NF1-SM</t>
  </si>
  <si>
    <t>4056-2-767</t>
  </si>
  <si>
    <t>12 Months Premium 24x7 Support and Software Maintenance for GigaSMART HD Series blade (includes Slicing Masking Source Port &amp; GigaVUE Tunneling De-Encapsulation SW).</t>
  </si>
  <si>
    <t>SMT-HD0-PM</t>
  </si>
  <si>
    <t>4056-2-768</t>
  </si>
  <si>
    <t>12 Months Standard Support and Software Maintenance for GigaSMART HD Series blade (includes Slicing Masking Source Port &amp; GigaVUE Tunneling De-Encapsulation SW).</t>
  </si>
  <si>
    <t>SMT-HD0-SM</t>
  </si>
  <si>
    <t>4056-2-770</t>
  </si>
  <si>
    <t>Multi-Year Allowance for Advanced Support and Software Maintenance for GigaSMART HD Series SSL Decryption feature license per GigaSMART blade</t>
  </si>
  <si>
    <t>SMT-HD0-SSL-AS</t>
  </si>
  <si>
    <t>4056-2-771</t>
  </si>
  <si>
    <t>12 Months Premium 24x7 Support and Software Maintenance for GigaSMART HD Series SSL Decryption feature license per GigaSMART blade.</t>
  </si>
  <si>
    <t>SMT-HD0-SSL-PM</t>
  </si>
  <si>
    <t>4056-2-772</t>
  </si>
  <si>
    <t>12 Months Standard Support and Software Maintenance for GigaSMART HD Series SSL Decryption feature license per GigaSMART blade.</t>
  </si>
  <si>
    <t>SMT-HD0-SSL-SM</t>
  </si>
  <si>
    <t>4056-2-774</t>
  </si>
  <si>
    <t>Multi-Year Allowance for Advanced Support and Software Maintenance for GigaSMART-Header Stripping feature module license per GigaSMART blade</t>
  </si>
  <si>
    <t>SMT-HST-AS</t>
  </si>
  <si>
    <t>4056-2-775</t>
  </si>
  <si>
    <t>12 Months Premium 24x7 Support and Software Maintenance for GigaSMART-Header Stripping feature module license per GigaSMART blade.</t>
  </si>
  <si>
    <t>SMT-HST-PM</t>
  </si>
  <si>
    <t>4056-2-776</t>
  </si>
  <si>
    <t>12 Months Standard Support and Software Maintenance for GigaSMART-Header Stripping feature module license per GigaSMART blade.</t>
  </si>
  <si>
    <t>SMT-HST-SM</t>
  </si>
  <si>
    <t>4056-2-778</t>
  </si>
  <si>
    <t>Multi-Year Allowance for Advanced Support and Software Maintenance for GigaSMART-Load Balancing Group feature module license per GigaSMART blade</t>
  </si>
  <si>
    <t>SMT-LBG-AS</t>
  </si>
  <si>
    <t>4056-2-779</t>
  </si>
  <si>
    <t>12 Months Premium 24x7 Support and Software Maintenance for GigaSMART-Load Balancing Group feature module license per GigaSMART blade.</t>
  </si>
  <si>
    <t>SMT-LBG-PM</t>
  </si>
  <si>
    <t>4056-2-780</t>
  </si>
  <si>
    <t>12 Months Standard Support and Software Maintenance for GigaSMART-Load Balancing Group feature module license per GigaSMART blade.</t>
  </si>
  <si>
    <t>SMT-LBG-SM</t>
  </si>
  <si>
    <t>4056-2-781</t>
  </si>
  <si>
    <t>Multi-Year Allowance for Advanced Support and Software Maintenance for GigaSMART-Masking feature module license per GigaSMART blade (EOS)</t>
  </si>
  <si>
    <t>SMT-MSK-AS</t>
  </si>
  <si>
    <t>4056-2-782</t>
  </si>
  <si>
    <t>12 Months Premium 24x7 Support and Software Maintenance for GigaSMART-Masking feature module license per GigaSMART blade (EOS).</t>
  </si>
  <si>
    <t>SMT-MSK-PM</t>
  </si>
  <si>
    <t>4056-2-783</t>
  </si>
  <si>
    <t>12 Months Standard Support and Software Maintenance for GigaSMART-Masking feature module license per GigaSMART blade (EOS).</t>
  </si>
  <si>
    <t>SMT-MSK-SM</t>
  </si>
  <si>
    <t>4056-2-784</t>
  </si>
  <si>
    <t>Multi-Year Allowance for Advanced Support and Software Maintenance for GigaSMART-Slice feature module license per GigaSMART blade (EOS)</t>
  </si>
  <si>
    <t>SMT-SLC-AS</t>
  </si>
  <si>
    <t>4056-2-785</t>
  </si>
  <si>
    <t>12 Months Premium 24x7 Support and Software Maintenance for GigaSMART-Slice feature module license per GigaSMART blade (EOS).</t>
  </si>
  <si>
    <t>SMT-SLC-PM</t>
  </si>
  <si>
    <t>4056-2-786</t>
  </si>
  <si>
    <t>12 Months Standard Support and Software Maintenance for GigaSMART-Slice feature module license per GigaSMART blade (EOS).</t>
  </si>
  <si>
    <t>SMT-SLC-SM</t>
  </si>
  <si>
    <t>4056-2-787</t>
  </si>
  <si>
    <t>Multi-Year Allowance for Advanced Support and Software Maintenance for GigaSMART-Source Port feature module license per GigaSMART blade (EOS)</t>
  </si>
  <si>
    <t>SMT-SRC-AS</t>
  </si>
  <si>
    <t>4056-2-788</t>
  </si>
  <si>
    <t>12 Months Premium 24x7 Support and Software Maintenance for GigaSMART-Source Port feature module license per GigaSMART blade (EOS).</t>
  </si>
  <si>
    <t>SMT-SRC-PM</t>
  </si>
  <si>
    <t>4056-2-789</t>
  </si>
  <si>
    <t>12 Months Standard Support and Software Maintenance for GigaSMART-Source Port feature module license per GigaSMART blade (EOS).</t>
  </si>
  <si>
    <t>SMT-SRC-SM</t>
  </si>
  <si>
    <t>4056-2-791</t>
  </si>
  <si>
    <t>Multi-Year Allowance for Advanced Support and Software Maintenance for GigaSMART-Time stamp feature module license per GigaSMART blade</t>
  </si>
  <si>
    <t>SMT-TSP-AS</t>
  </si>
  <si>
    <t>4056-2-792</t>
  </si>
  <si>
    <t>12 Months Premium 24x7 Support and Software Maintenance for GigaSMART-Time stamp feature module license per GigaSMART blade.</t>
  </si>
  <si>
    <t>SMT-TSP-PM</t>
  </si>
  <si>
    <t>4056-2-793</t>
  </si>
  <si>
    <t>12 Months Standard Support and Software Maintenance for GigaSMART-Time stamp feature module license per GigaSMART blade.</t>
  </si>
  <si>
    <t>SMT-TSP-SM</t>
  </si>
  <si>
    <t>4056-2-795</t>
  </si>
  <si>
    <t>Multi-Year Allowance for Advanced Support and Software Maintenance for GigaSMART-Tunneling feature module license per GigaSMART blade</t>
  </si>
  <si>
    <t>SMT-TUN-AS</t>
  </si>
  <si>
    <t>4056-2-796</t>
  </si>
  <si>
    <t>12 Months Premium 24x7 Support and Software Maintenance for GigaSMART-Tunneling feature module license per GigaSMART blade.</t>
  </si>
  <si>
    <t>SMT-TUN-PM</t>
  </si>
  <si>
    <t>4056-2-797</t>
  </si>
  <si>
    <t>12 Months Standard Support and Software Maintenance for GigaSMART-Tunneling feature module license per GigaSMART blade.</t>
  </si>
  <si>
    <t>SMT-TUN-SM</t>
  </si>
  <si>
    <t>4056-2-799</t>
  </si>
  <si>
    <t>Multi-Year Allowance for Advanced Support and Software Maintenance for Spare fan tray for 212 chassis or G-SECURE chassis</t>
  </si>
  <si>
    <t>SVC-1FN-AS</t>
  </si>
  <si>
    <t>4056-2-800</t>
  </si>
  <si>
    <t>12 Months Premium 24x7 Support and Software Maintenance for Spare fan tray for 212 chassis or G-SECURE chassis</t>
  </si>
  <si>
    <t>SVC-1FN-PM</t>
  </si>
  <si>
    <t>4056-2-801</t>
  </si>
  <si>
    <t>12 Months Standard Support and Software Maintenance for Spare fan tray for 212 chassis or G-SECURE chassis</t>
  </si>
  <si>
    <t>SVC-1FN-SM</t>
  </si>
  <si>
    <t>4056-2-802</t>
  </si>
  <si>
    <t>Multi-Year Allowance for Advanced Support and Software Maintenance for 110/240 V AC power supply module HB1 420 212 or G-SECURE chassis (EOS)</t>
  </si>
  <si>
    <t>SVC-2AC-AS</t>
  </si>
  <si>
    <t>4056-2-803</t>
  </si>
  <si>
    <t>12 Months Premium 24x7 Support and Software Maintenance for 110/240 V AC power supply module HB1 420 212 or G-SECURE chassis (EOS)</t>
  </si>
  <si>
    <t>SVC-2AC-PM</t>
  </si>
  <si>
    <t>4056-2-804</t>
  </si>
  <si>
    <t>12 Months Standard Support and Software Maintenance for 110/240 V AC power supply module HB1 420 212 or G-SECURE chassis (EOS)</t>
  </si>
  <si>
    <t>SVC-2AC-SM</t>
  </si>
  <si>
    <t>4056-2-805</t>
  </si>
  <si>
    <t>Multi-Year Allowance for Advanced Support and Software Maintenance for -48 V DC power supply module HB1 420 212 or G-SECURE chassis (EOS)</t>
  </si>
  <si>
    <t>SVC-2DC-AS</t>
  </si>
  <si>
    <t>4056-2-806</t>
  </si>
  <si>
    <t>12 Months Premium 24x7 Support and Software Maintenance for -48 V DC power supply module HB1 420 212 or G-SECURE chassis (EOS)</t>
  </si>
  <si>
    <t>SVC-2DC-PM</t>
  </si>
  <si>
    <t>4056-2-807</t>
  </si>
  <si>
    <t>12 Months Standard Support and Software Maintenance for -48 V DC power supply module HB1 420 212 or G-SECURE chassis (EOS)</t>
  </si>
  <si>
    <t>SVC-2DC-SM</t>
  </si>
  <si>
    <t>4056-2-809</t>
  </si>
  <si>
    <t>Multi-Year Allowance for Advanced Support and Software Maintenance for Filter module 2404 chassis NEBS certified</t>
  </si>
  <si>
    <t>SVC-3FLN-AS</t>
  </si>
  <si>
    <t>4056-2-810</t>
  </si>
  <si>
    <t>12 Months Premium 24x7 Support and Software Maintenance for Filter module 2404 chassis NEBS certified</t>
  </si>
  <si>
    <t>SVC-3FLN-PM</t>
  </si>
  <si>
    <t>4056-2-811</t>
  </si>
  <si>
    <t>12 Months Standard Support and Software Maintenance for Filter module 2404 chassis NEBS certified</t>
  </si>
  <si>
    <t>SVC-3FLN-SM</t>
  </si>
  <si>
    <t>4056-2-813</t>
  </si>
  <si>
    <t>Multi-Year Allowance for Advanced Support and Software Maintenance for Fan module 2404 chassis</t>
  </si>
  <si>
    <t>SVC-3FN-AS</t>
  </si>
  <si>
    <t>4056-2-815</t>
  </si>
  <si>
    <t>Multi-Year Allowance for Advanced Support and Software Maintenance for Fan module 2404 chassis NEBS certified</t>
  </si>
  <si>
    <t>SVC-3FNN-AS</t>
  </si>
  <si>
    <t>4056-2-816</t>
  </si>
  <si>
    <t>12 Months Premium 24x7 Support and Software Maintenance for Fan module 2404 chassis NEBS certified</t>
  </si>
  <si>
    <t>SVC-3FNN-PM</t>
  </si>
  <si>
    <t>4056-2-817</t>
  </si>
  <si>
    <t>12 Months Standard Support and Software Maintenance for Fan module 2404 chassis NEBS certified</t>
  </si>
  <si>
    <t>SVC-3FNN-SM</t>
  </si>
  <si>
    <t>4056-2-818</t>
  </si>
  <si>
    <t>12 Months Premium 24x7 Support and Software Maintenance for Fan module 2404 chassis</t>
  </si>
  <si>
    <t>SVC-3FN-PM</t>
  </si>
  <si>
    <t>4056-2-819</t>
  </si>
  <si>
    <t>12 Months Standard Support and Software Maintenance for Fan module 2404 chassis</t>
  </si>
  <si>
    <t>SVC-3FN-SM</t>
  </si>
  <si>
    <t>4056-2-820</t>
  </si>
  <si>
    <t>Multi-Year Allowance for Advanced Support and Software Maintenance for Spare 420 chassis with 4 RJ45; without power supplies and fans (EOS)</t>
  </si>
  <si>
    <t>SVC-421-AS</t>
  </si>
  <si>
    <t>4056-2-821</t>
  </si>
  <si>
    <t>12 Months Premium 24x7 Support and Software Maintenance for Spare 420 chassis with 4 RJ45; without power supplies and fans (EOS)</t>
  </si>
  <si>
    <t>SVC-421-PM</t>
  </si>
  <si>
    <t>4056-2-822</t>
  </si>
  <si>
    <t>12 Months Standard Support and Software Maintenance for Spare 420 chassis with 4 RJ45; without power supplies and fans (EOS)</t>
  </si>
  <si>
    <t>SVC-421-SM</t>
  </si>
  <si>
    <t>4056-2-823</t>
  </si>
  <si>
    <t>Multi-Year Allowance for Advanced Support and Software Maintenance for Spare 420 chassis with 4 SFP cages; without power supplies and fans (EOS)</t>
  </si>
  <si>
    <t>SVC-422-AS</t>
  </si>
  <si>
    <t>4056-2-824</t>
  </si>
  <si>
    <t>12 Months Premium 24x7 Support and Software Maintenance for Spare 420 chassis with 4 SFP cages; without power supplies and fans (EOS)</t>
  </si>
  <si>
    <t>SVC-422-PM</t>
  </si>
  <si>
    <t>4056-2-825</t>
  </si>
  <si>
    <t>12 Months Standard Support and Software Maintenance for Spare 420 chassis with 4 SFP cages; without power supplies and fans (EOS)</t>
  </si>
  <si>
    <t>SVC-422-SM</t>
  </si>
  <si>
    <t>4056-2-827</t>
  </si>
  <si>
    <t>Multi-Year Allowance for Advanced Support and Software Maintenance for Spare 2404 chassis with SFP cages; without power supplies and fans NEBS certified</t>
  </si>
  <si>
    <t>SVC-432N-AS</t>
  </si>
  <si>
    <t>4056-2-828</t>
  </si>
  <si>
    <t>12 Months Premium 24x7 Support and Software Maintenance for Spare 2404 chassis with SFP cages; without power supplies and fans NEBS certified</t>
  </si>
  <si>
    <t>SVC-432N-PM</t>
  </si>
  <si>
    <t>4056-2-829</t>
  </si>
  <si>
    <t>12 Months Standard Support and Software Maintenance for Spare 2404 chassis with SFP cages; without power supplies and fans NEBS certified</t>
  </si>
  <si>
    <t>SVC-432N-SM</t>
  </si>
  <si>
    <t>4056-2-831</t>
  </si>
  <si>
    <t>Multi-Year Allowance for Advanced Support and Software Maintenance for Spare 2404 slot 1 blade with SFP cages</t>
  </si>
  <si>
    <t>SVC-434-AS</t>
  </si>
  <si>
    <t>4056-2-833</t>
  </si>
  <si>
    <t>Multi-Year Allowance for Advanced Support and Software Maintenance for Spare 2404 slot 1 blade with SFP cages NEBS certified</t>
  </si>
  <si>
    <t>SVC-434N-AS</t>
  </si>
  <si>
    <t>4056-2-834</t>
  </si>
  <si>
    <t>12 Months Premium 24x7 Support and Software Maintenance for Spare 2404 slot 1 blade with SFP cages NEBS certified</t>
  </si>
  <si>
    <t>SVC-434N-PM</t>
  </si>
  <si>
    <t>4056-2-835</t>
  </si>
  <si>
    <t>12 Months Standard Support and Software Maintenance for Spare 2404 slot 1 blade with SFP cages NEBS certified</t>
  </si>
  <si>
    <t>SVC-434N-SM</t>
  </si>
  <si>
    <t>4056-2-836</t>
  </si>
  <si>
    <t>12 Months Premium 24x7 Support and Software Maintenance for Spare 2404 slot 1 blade with SFP cages</t>
  </si>
  <si>
    <t>SVC-434-PM</t>
  </si>
  <si>
    <t>4056-2-837</t>
  </si>
  <si>
    <t>12 Months Standard Support and Software Maintenance for Spare 2404 slot 1 blade with SFP cages</t>
  </si>
  <si>
    <t>SVC-434-SM</t>
  </si>
  <si>
    <t>4056-2-839</t>
  </si>
  <si>
    <t>Multi-Year Allowance for Advanced Support and Software Maintenance for Fan module 420 chassis</t>
  </si>
  <si>
    <t>SVC-FAN-AS</t>
  </si>
  <si>
    <t>4056-2-840</t>
  </si>
  <si>
    <t>12 Months Premium 24x7 Support and Software Maintenance for Fan module 420 chassis</t>
  </si>
  <si>
    <t>SVC-FAN-PM</t>
  </si>
  <si>
    <t>4056-2-841</t>
  </si>
  <si>
    <t>12 Months Standard Support and Software Maintenance for Fan module 420 chassis</t>
  </si>
  <si>
    <t>SVC-FAN-SM</t>
  </si>
  <si>
    <t>4056-2-843</t>
  </si>
  <si>
    <t>Multi-Year Allowance for Advanced Support and Software Maintenance for Spare 420 management module with 4 RJ45</t>
  </si>
  <si>
    <t>SVC-X21-AS</t>
  </si>
  <si>
    <t>4056-2-844</t>
  </si>
  <si>
    <t>12 Months Premium 24x7 Support and Software Maintenance for Spare 420 management module with 4 RJ45</t>
  </si>
  <si>
    <t>SVC-X21-PM</t>
  </si>
  <si>
    <t>4056-2-845</t>
  </si>
  <si>
    <t>12 Months Standard Support and Software Maintenance for Spare 420 management module with 4 RJ45</t>
  </si>
  <si>
    <t>SVC-X21-SM</t>
  </si>
  <si>
    <t>4056-2-847</t>
  </si>
  <si>
    <t>Multi-Year Allowance for Advanced Support and Software Maintenance for Spare 420 management module with 4 SFP cages</t>
  </si>
  <si>
    <t>SVC-X22-AS</t>
  </si>
  <si>
    <t>4056-2-848</t>
  </si>
  <si>
    <t>12 Months Premium 24x7 Support and Software Maintenance for Spare 420 management module with 4 SFP cages</t>
  </si>
  <si>
    <t>SVC-X22-PM</t>
  </si>
  <si>
    <t>4056-2-849</t>
  </si>
  <si>
    <t>12 Months Standard Support and Software Maintenance for Spare 420 management module with 4 SFP cages</t>
  </si>
  <si>
    <t>SVC-X22-SM</t>
  </si>
  <si>
    <t>4056-2-850</t>
  </si>
  <si>
    <t>Multi-Year Allowance for Advanced Support and Software Maintenance for GigaTAP-TX-D copper tap module 2 taps per module</t>
  </si>
  <si>
    <t>TAP-101-AS</t>
  </si>
  <si>
    <t>4056-2-851</t>
  </si>
  <si>
    <t>12 Months Premium 24x7 Support and Software Maintenance for GigaTAP-TX-D copper tap module 2 taps per module</t>
  </si>
  <si>
    <t>TAP-101-PM</t>
  </si>
  <si>
    <t>4056-2-852</t>
  </si>
  <si>
    <t>12 Months Standard Support and Software Maintenance for GigaTAP-TX-D copper tap module 2 taps per module</t>
  </si>
  <si>
    <t>TAP-101-SM</t>
  </si>
  <si>
    <t>4056-2-853</t>
  </si>
  <si>
    <t>Multi-Year Allowance for Advanced Support and Software Maintenance for GigaTAP-BPC-D In-Line One-to-Many Bypass Tap Copper 1Gig (Special Order)</t>
  </si>
  <si>
    <t>TAP-141-AS</t>
  </si>
  <si>
    <t>4056-2-854</t>
  </si>
  <si>
    <t>12 Months Premium 24x7 Support and Software Maintenance for GigaTAP-BPC-D In-Line One-to-Many Bypass Tap Copper 1Gig (Special Order)</t>
  </si>
  <si>
    <t>TAP-141-PM</t>
  </si>
  <si>
    <t>4056-2-855</t>
  </si>
  <si>
    <t>12 Months Standard Support and Software Maintenance for GigaTAP-BPC-D In-Line One-to-Many Bypass Tap Copper 1Gig (Special Order)</t>
  </si>
  <si>
    <t>TAP-141-SM</t>
  </si>
  <si>
    <t>4056-2-857</t>
  </si>
  <si>
    <t>Multi-Year Allowance for Advanced Support and Software Maintenance for 1/2 U chassis supports 123or 4 Dual Optical G-TAP Modules stand alone chassis 1/10G</t>
  </si>
  <si>
    <t>TAP-200-AS</t>
  </si>
  <si>
    <t>4056-2-858</t>
  </si>
  <si>
    <t>12 Months Premium 24x7 Support and Software Maintenance for 1/2 U chassis supports 123or 4 Dual Optical G-TAP Modules stand alone chassis 1/10G</t>
  </si>
  <si>
    <t>TAP-200-PM</t>
  </si>
  <si>
    <t>4056-2-859</t>
  </si>
  <si>
    <t>12 Months Standard Support and Software Maintenance for 1/2 U chassis supports 123or 4 Dual Optical G-TAP Modules stand alone chassis 1/10G</t>
  </si>
  <si>
    <t>TAP-200-SM</t>
  </si>
  <si>
    <t>4056-2-861</t>
  </si>
  <si>
    <t>Multi-Year Allowance for Advanced Support and Software Maintenance for GigaTAP-TX copper tap module 2 taps per module 420 chassis</t>
  </si>
  <si>
    <t>TAP-201-AS</t>
  </si>
  <si>
    <t>4056-2-862</t>
  </si>
  <si>
    <t>12 Months Premium 24x7 Support and Software Maintenance for GigaTAP-TX copper tap module 2 taps per module 420 chassis</t>
  </si>
  <si>
    <t>TAP-201-PM</t>
  </si>
  <si>
    <t>4056-2-863</t>
  </si>
  <si>
    <t>12 Months Standard Support and Software Maintenance for GigaTAP-TX copper tap module 2 taps per module 420 chassis</t>
  </si>
  <si>
    <t>TAP-201-SM</t>
  </si>
  <si>
    <t>4056-2-865</t>
  </si>
  <si>
    <t>Multi-Year Allowance for Advanced Support and Software Maintenance for GigaTAP-SX 850nm Multimode tap module 2 taps per module 420 Chassis</t>
  </si>
  <si>
    <t>TAP-202-AS</t>
  </si>
  <si>
    <t>4056-2-866</t>
  </si>
  <si>
    <t>12 Months Premium 24x7 Support and Software Maintenance for GigaTAP-SX 850nm Multimode tap module 2 taps per module 420 Chassis</t>
  </si>
  <si>
    <t>TAP-202-PM</t>
  </si>
  <si>
    <t>4056-2-867</t>
  </si>
  <si>
    <t>12 Months Standard Support and Software Maintenance for GigaTAP-SX 850nm Multimode tap module 2 taps per module 420 Chassis</t>
  </si>
  <si>
    <t>TAP-202-SM</t>
  </si>
  <si>
    <t>4056-2-869</t>
  </si>
  <si>
    <t>Multi-Year Allowance for Advanced Support and Software Maintenance for GigaTAP-LX 1310nm Singlemode tap module 2 taps per module 420 Chassis (Special Order)</t>
  </si>
  <si>
    <t>TAP-203-AS</t>
  </si>
  <si>
    <t>4056-2-870</t>
  </si>
  <si>
    <t>12 Months Premium 24x7 Support and Software Maintenance for GigaTAP-LX 1310nm Singlemode tap module 2 taps per module 420 Chassis (Special Order)</t>
  </si>
  <si>
    <t>TAP-203-PM</t>
  </si>
  <si>
    <t>4056-2-871</t>
  </si>
  <si>
    <t>12 Months Standard Support and Software Maintenance for GigaTAP-LX 1310nm Singlemode tap module 2 taps per module 420 Chassis (Special Order)</t>
  </si>
  <si>
    <t>TAP-203-SM</t>
  </si>
  <si>
    <t>4056-2-873</t>
  </si>
  <si>
    <t>Multi-Year Allowance for Advanced Support and Software Maintenance for GigaTAP-ZX 1550nm Singlemode tap module 2 taps per module 420 Chassis (Special Order)</t>
  </si>
  <si>
    <t>TAP-204-AS</t>
  </si>
  <si>
    <t>4056-2-874</t>
  </si>
  <si>
    <t>12 Months Premium 24x7 Support and Software Maintenance for GigaTAP-ZX 1550nm Singlemode tap module 2 taps per module 420 Chassis (Special Order)</t>
  </si>
  <si>
    <t>TAP-204-PM</t>
  </si>
  <si>
    <t>4056-2-875</t>
  </si>
  <si>
    <t>12 Months Standard Support and Software Maintenance for GigaTAP-ZX 1550nm Singlemode tap module 2 taps per module 420 Chassis (Special Order)</t>
  </si>
  <si>
    <t>TAP-204-SM</t>
  </si>
  <si>
    <t>4056-2-876</t>
  </si>
  <si>
    <t>Multi-Year Allowance for Advanced Support and Software Maintenance for 10GigaTAP-SR optical Multimode 850nm 10Gig tap module 420 chassis (EOS)</t>
  </si>
  <si>
    <t>TAP-212-AS</t>
  </si>
  <si>
    <t>4056-2-877</t>
  </si>
  <si>
    <t>12 Months Premium 24x7 Support and Software Maintenance for 10GigaTAP-SR optical Multimode 850nm 10Gig tap module 420 chassis (EOS)</t>
  </si>
  <si>
    <t>TAP-212-PM</t>
  </si>
  <si>
    <t>4056-2-878</t>
  </si>
  <si>
    <t>12 Months Standard Support and Software Maintenance for 10GigaTAP-SR optical Multimode 850nm 10Gig tap module 420 chassis (EOS)</t>
  </si>
  <si>
    <t>TAP-212-SM</t>
  </si>
  <si>
    <t>4056-2-879</t>
  </si>
  <si>
    <t>Multi-Year Allowance for Advanced Support and Software Maintenance for 10GigaTAP-LR optical Singlemode 1310nm 10Gig tap module 420 chassis (EOS)</t>
  </si>
  <si>
    <t>TAP-213-AS</t>
  </si>
  <si>
    <t>4056-2-880</t>
  </si>
  <si>
    <t>12 Months Premium 24x7 Support and Software Maintenance for 10GigaTAP-LR optical Singlemode 1310nm 10Gig tap module 420 chassis (EOS)</t>
  </si>
  <si>
    <t>TAP-213-PM</t>
  </si>
  <si>
    <t>4056-2-881</t>
  </si>
  <si>
    <t>12 Months Standard Support and Software Maintenance for 10GigaTAP-LR optical Singlemode 1310nm 10Gig tap module 420 chassis (EOS)</t>
  </si>
  <si>
    <t>TAP-213-SM</t>
  </si>
  <si>
    <t>4056-2-882</t>
  </si>
  <si>
    <t>Multi-Year Allowance for Advanced Support and Software Maintenance for 10GigaTAP-ER optical Singlemode 1550nm 10Gig tap module 420 chassis (EOS)</t>
  </si>
  <si>
    <t>TAP-214-AS</t>
  </si>
  <si>
    <t>4056-2-883</t>
  </si>
  <si>
    <t>12 Months Premium 24x7 Support and Software Maintenance for 10GigaTAP-ER optical Singlemode 1550nm 10Gig tap module 420 chassis (EOS)</t>
  </si>
  <si>
    <t>TAP-214-PM</t>
  </si>
  <si>
    <t>4056-2-884</t>
  </si>
  <si>
    <t>12 Months Standard Support and Software Maintenance for 10GigaTAP-ER optical Singlemode 1550nm 10Gig tap module 420 chassis (EOS)</t>
  </si>
  <si>
    <t>TAP-214-SM</t>
  </si>
  <si>
    <t>4056-2-886</t>
  </si>
  <si>
    <t>Multi-Year Allowance for Advanced Support and Software Maintenance for 1GigaTAP-4SX for GigaVUE-2404 850nm Multimode tap blade with 4 taps</t>
  </si>
  <si>
    <t>TAP-222-AS</t>
  </si>
  <si>
    <t>4056-2-888</t>
  </si>
  <si>
    <t>Multi-Year Allowance for Advanced Support and Software Maintenance for 1GigaTAP-4SX for GigaVUE-2404 850nm Multimode tap blade with 4 taps NEBS certified</t>
  </si>
  <si>
    <t>TAP-222N-AS</t>
  </si>
  <si>
    <t>4056-2-889</t>
  </si>
  <si>
    <t>12 Months Premium 24x7 Support and Software Maintenance for 1GigaTAP-4SX for GigaVUE-2404 850nm Multimode tap blade with 4 taps NEBS certified</t>
  </si>
  <si>
    <t>TAP-222N-PM</t>
  </si>
  <si>
    <t>4056-2-890</t>
  </si>
  <si>
    <t>12 Months Standard Support and Software Maintenance for 1GigaTAP-4SX for GigaVUE-2404 850nm Multimode tap blade with 4 taps NEBS certified</t>
  </si>
  <si>
    <t>TAP-222N-SM</t>
  </si>
  <si>
    <t>4056-2-891</t>
  </si>
  <si>
    <t>12 Months Premium 24x7 Support and Software Maintenance for 1GigaTAP-4SX for GigaVUE-2404 850nm Multimode tap blade with 4 taps</t>
  </si>
  <si>
    <t>TAP-222-PM</t>
  </si>
  <si>
    <t>4056-2-892</t>
  </si>
  <si>
    <t>12 Months Standard Support and Software Maintenance for 1GigaTAP-4SX for GigaVUE-2404 850nm Multimode tap blade with 4 taps</t>
  </si>
  <si>
    <t>TAP-222-SM</t>
  </si>
  <si>
    <t>4056-2-894</t>
  </si>
  <si>
    <t>Multi-Year Allowance for Advanced Support and Software Maintenance for 1GigaTAP-4LX for GigaVUE-2404 1310nm Singlemode tap blade with 4 taps (Special Order)</t>
  </si>
  <si>
    <t>TAP-223-AS</t>
  </si>
  <si>
    <t>4056-2-896</t>
  </si>
  <si>
    <t>Multi-Year Allowance for Advanced Support and Software Maintenance for 1GigaTAP-4LX for GigaVUE-2404 1310nm Singlemode tap blade with 4 taps NEBS certified (Special Order)</t>
  </si>
  <si>
    <t>TAP-223N-AS</t>
  </si>
  <si>
    <t>4056-2-897</t>
  </si>
  <si>
    <t>12 Months Premium 24x7 Support and Software Maintenance for 1GigaTAP-4LX for GigaVUE-2404 1310nm Singlemode tap blade with 4 taps NEBS certified (Special Order)</t>
  </si>
  <si>
    <t>TAP-223N-PM</t>
  </si>
  <si>
    <t>4056-2-898</t>
  </si>
  <si>
    <t>12 Months Standard Support and Software Maintenance for 1GigaTAP-4LX for GigaVUE-2404 1310nm Singlemode tap blade with 4 taps NEBS certified (Special Order)</t>
  </si>
  <si>
    <t>TAP-223N-SM</t>
  </si>
  <si>
    <t>4056-2-899</t>
  </si>
  <si>
    <t>12 Months Premium 24x7 Support and Software Maintenance for 1GigaTAP-4LX for GigaVUE-2404 1310nm Singlemode tap blade with 4 taps (Special Order)</t>
  </si>
  <si>
    <t>TAP-223-PM</t>
  </si>
  <si>
    <t>4056-2-900</t>
  </si>
  <si>
    <t>12 Months Standard Support and Software Maintenance for 1GigaTAP-4LX for GigaVUE-2404 1310nm Singlemode tap blade with 4 taps (Special Order)</t>
  </si>
  <si>
    <t>TAP-223-SM</t>
  </si>
  <si>
    <t>4056-2-902</t>
  </si>
  <si>
    <t>Multi-Year Allowance for Advanced Support and Software Maintenance for 1GigaTAP-4ZX for GigaVUE-2404 1550nm Singlemode tap blade with 4 taps (Special Order)</t>
  </si>
  <si>
    <t>TAP-224-AS</t>
  </si>
  <si>
    <t>4056-2-904</t>
  </si>
  <si>
    <t>Multi-Year Allowance for Advanced Support and Software Maintenance for 1GigaTAP-4ZX for GigaVUE-2404 1550nm Singlemode tap blade with 4 taps NEBS certified (Special Order)</t>
  </si>
  <si>
    <t>TAP-224N-AS</t>
  </si>
  <si>
    <t>4056-2-905</t>
  </si>
  <si>
    <t>12 Months Premium 24x7 Support and Software Maintenance for 1GigaTAP-4ZX for GigaVUE-2404 1550nm Singlemode tap blade with 4 taps NEBS certified (Special Order)</t>
  </si>
  <si>
    <t>TAP-224N-PM</t>
  </si>
  <si>
    <t>4056-2-906</t>
  </si>
  <si>
    <t>12 Months Standard Support and Software Maintenance for 1GigaTAP-4ZX for GigaVUE-2404 1550nm Singlemode tap blade with 4 taps NEBS certified (Special Order)</t>
  </si>
  <si>
    <t>TAP-224N-SM</t>
  </si>
  <si>
    <t>4056-2-907</t>
  </si>
  <si>
    <t>12 Months Premium 24x7 Support and Software Maintenance for 1GigaTAP-4ZX for GigaVUE-2404 1550nm Singlemode tap blade with 4 taps (Special Order)</t>
  </si>
  <si>
    <t>TAP-224-PM</t>
  </si>
  <si>
    <t>4056-2-908</t>
  </si>
  <si>
    <t>12 Months Standard Support and Software Maintenance for 1GigaTAP-4ZX for GigaVUE-2404 1550nm Singlemode tap blade with 4 taps (Special Order)</t>
  </si>
  <si>
    <t>TAP-224-SM</t>
  </si>
  <si>
    <t>4056-2-910</t>
  </si>
  <si>
    <t>Multi-Year Allowance for Advanced Support and Software Maintenance for 10GigaTAP-4SR for GigaVUE-2404 850nm Multimode tap blade with 4 taps</t>
  </si>
  <si>
    <t>TAP-232-AS</t>
  </si>
  <si>
    <t>4056-2-912</t>
  </si>
  <si>
    <t>Multi-Year Allowance for Advanced Support and Software Maintenance for 10GigaTAP-4SR for GigaVUE-2404 850nm Multimode tap blade with 4 taps NEBS certified</t>
  </si>
  <si>
    <t>TAP-232N-AS</t>
  </si>
  <si>
    <t>4056-2-913</t>
  </si>
  <si>
    <t>12 Months Premium 24x7 Support and Software Maintenance for 10GigaTAP-4SR for GigaVUE-2404 850nm Multimode tap blade with 4 taps NEBS certified</t>
  </si>
  <si>
    <t>TAP-232N-PM</t>
  </si>
  <si>
    <t>4056-2-914</t>
  </si>
  <si>
    <t>12 Months Standard Support and Software Maintenance for 10GigaTAP-4SR for GigaVUE-2404 850nm Multimode tap blade with 4 taps NEBS certified</t>
  </si>
  <si>
    <t>TAP-232N-SM</t>
  </si>
  <si>
    <t>4056-2-915</t>
  </si>
  <si>
    <t>12 Months Premium 24x7 Support and Software Maintenance for 10GigaTAP-4SR for GigaVUE-2404 850nm Multimode tap blade with 4 taps</t>
  </si>
  <si>
    <t>TAP-232-PM</t>
  </si>
  <si>
    <t>4056-2-916</t>
  </si>
  <si>
    <t>12 Months Standard Support and Software Maintenance for 10GigaTAP-4SR for GigaVUE-2404 850nm Multimode tap blade with 4 taps</t>
  </si>
  <si>
    <t>TAP-232-SM</t>
  </si>
  <si>
    <t>4056-2-918</t>
  </si>
  <si>
    <t>Multi-Year Allowance for Advanced Support and Software Maintenance for 10GigaTAP-4LR for GigaVUE-2404 1310nm Singlemode tap blade with 4 taps</t>
  </si>
  <si>
    <t>TAP-233-AS</t>
  </si>
  <si>
    <t>4056-2-920</t>
  </si>
  <si>
    <t>Multi-Year Allowance for Advanced Support and Software Maintenance for 10GigaTAP-4LR for GigaVUE-2404 1310nm Singlemode tap blade with 4 taps NEBS certified</t>
  </si>
  <si>
    <t>TAP-233N-AS</t>
  </si>
  <si>
    <t>4056-2-921</t>
  </si>
  <si>
    <t>12 Months Premium 24x7 Support and Software Maintenance for 10GigaTAP-4LR for GigaVUE-2404 1310nm Singlemode tap blade with 4 taps NEBS certified</t>
  </si>
  <si>
    <t>TAP-233N-PM</t>
  </si>
  <si>
    <t>4056-2-922</t>
  </si>
  <si>
    <t>12 Months Standard Support and Software Maintenance for 10GigaTAP-4LR for GigaVUE-2404 1310nm Singlemode tap blade with 4 taps NEBS certified</t>
  </si>
  <si>
    <t>TAP-233N-SM</t>
  </si>
  <si>
    <t>4056-2-923</t>
  </si>
  <si>
    <t>12 Months Premium 24x7 Support and Software Maintenance for 10GigaTAP-4LR for GigaVUE-2404 1310nm Singlemode tap blade with 4 taps</t>
  </si>
  <si>
    <t>TAP-233-PM</t>
  </si>
  <si>
    <t>4056-2-924</t>
  </si>
  <si>
    <t>12 Months Standard Support and Software Maintenance for 10GigaTAP-4LR for GigaVUE-2404 1310nm Singlemode tap blade with 4 taps</t>
  </si>
  <si>
    <t>TAP-233-SM</t>
  </si>
  <si>
    <t>4056-2-926</t>
  </si>
  <si>
    <t>Multi-Year Allowance for Advanced Support and Software Maintenance for 10GigaTAP-4ER for GigaVUE-2404 1550nm Singlemode tap blade with 4 taps (Special Order)</t>
  </si>
  <si>
    <t>TAP-234-AS</t>
  </si>
  <si>
    <t>4056-2-928</t>
  </si>
  <si>
    <t>Multi-Year Allowance for Advanced Support and Software Maintenance for 10GigaTAP-4ER for GigaVUE-2404 1550nm Singlemode tap blade with 4 taps NEBS certified (Special Order)</t>
  </si>
  <si>
    <t>TAP-234N-AS</t>
  </si>
  <si>
    <t>4056-2-929</t>
  </si>
  <si>
    <t>12 Months Premium 24x7 Support and Software Maintenance for 10GigaTAP-4ER for GigaVUE-2404 1550nm Singlemode tap blade with 4 taps NEBS certified (Special Order)</t>
  </si>
  <si>
    <t>TAP-234N-PM</t>
  </si>
  <si>
    <t>4056-2-930</t>
  </si>
  <si>
    <t>12 Months Standard Support and Software Maintenance for 10GigaTAP-4ER for GigaVUE-2404 1550nm Singlemode tap blade with 4 taps NEBS certified (Special Order)</t>
  </si>
  <si>
    <t>TAP-234N-SM</t>
  </si>
  <si>
    <t>4056-2-931</t>
  </si>
  <si>
    <t>12 Months Premium 24x7 Support and Software Maintenance for 10GigaTAP-4ER for GigaVUE-2404 1550nm Singlemode tap blade with 4 taps (Special Order)</t>
  </si>
  <si>
    <t>TAP-234-PM</t>
  </si>
  <si>
    <t>4056-2-932</t>
  </si>
  <si>
    <t>12 Months Standard Support and Software Maintenance for 10GigaTAP-4ER for GigaVUE-2404 1550nm Singlemode tap blade with 4 taps (Special Order)</t>
  </si>
  <si>
    <t>TAP-234-SM</t>
  </si>
  <si>
    <t>4056-2-934</t>
  </si>
  <si>
    <t>Multi-Year Allowance for Advanced Support and Software Maintenance for 10GigaTAP-4LRM for GigaVUE-2404 1310nm Multimode tap blade with 4 taps (Special Order)</t>
  </si>
  <si>
    <t>TAP-235-AS</t>
  </si>
  <si>
    <t>4056-2-936</t>
  </si>
  <si>
    <t>Multi-Year Allowance for Advanced Support and Software Maintenance for 10GigaTAP-4LRM for GigaVUE-2404 1310nm Multimode tap blade with 4 taps NEBS certified (Special Order)</t>
  </si>
  <si>
    <t>TAP-235N-AS</t>
  </si>
  <si>
    <t>4056-2-937</t>
  </si>
  <si>
    <t>12 Months Premium 24x7 Support and Software Maintenance for 10GigaTAP-4LRM for GigaVUE-2404 1310nm Multimode tap blade with 4 taps NEBS certified (Special Order)</t>
  </si>
  <si>
    <t>TAP-235N-PM</t>
  </si>
  <si>
    <t>4056-2-938</t>
  </si>
  <si>
    <t>12 Months Standard Support and Software Maintenance for 10GigaTAP-4LRM for GigaVUE-2404 1310nm Multimode tap blade with 4 taps NEBS certified (Special Order)</t>
  </si>
  <si>
    <t>TAP-235N-SM</t>
  </si>
  <si>
    <t>4056-2-939</t>
  </si>
  <si>
    <t>12 Months Premium 24x7 Support and Software Maintenance for 10GigaTAP-4LRM for GigaVUE-2404 1310nm Multimode tap blade with 4 taps (Special Order)</t>
  </si>
  <si>
    <t>TAP-235-PM</t>
  </si>
  <si>
    <t>4056-2-940</t>
  </si>
  <si>
    <t>12 Months Standard Support and Software Maintenance for 10GigaTAP-4LRM for GigaVUE-2404 1310nm Multimode tap blade with 4 taps (Special Order)</t>
  </si>
  <si>
    <t>TAP-235-SM</t>
  </si>
  <si>
    <t>4056-2-942</t>
  </si>
  <si>
    <t>Multi-Year Allowance for Advanced Support and Software Maintenance for GigaTAP-BPC In-Line Bypass Tap Copper 1Gig</t>
  </si>
  <si>
    <t>TAP-241-AS</t>
  </si>
  <si>
    <t>4056-2-943</t>
  </si>
  <si>
    <t>12 Months Premium 24x7 Support and Software Maintenance for GigaTAP-BPC In-Line Bypass Tap Copper 1Gig</t>
  </si>
  <si>
    <t>TAP-241-PM</t>
  </si>
  <si>
    <t>4056-2-944</t>
  </si>
  <si>
    <t>12 Months Standard Support and Software Maintenance for GigaTAP-BPC In-Line Bypass Tap Copper 1Gig</t>
  </si>
  <si>
    <t>TAP-241-SM</t>
  </si>
  <si>
    <t>4056-2-946</t>
  </si>
  <si>
    <t>Multi-Year Allowance for Advanced Support and Software Maintenance for Dual optical GigaTAP module 50/50 Multimode 850nm 50/125 micron fiber requires TAP-200 chassis 1/10G</t>
  </si>
  <si>
    <t>TAP-251-AS</t>
  </si>
  <si>
    <t>4056-2-947</t>
  </si>
  <si>
    <t>12 Months Premium 24x7 Support and Software Maintenance for Dual optical GigaTAP module 50/50 Multimode 850nm 50/125 micron fiber requires TAP-200 chassis 1/10G</t>
  </si>
  <si>
    <t>TAP-251-PM</t>
  </si>
  <si>
    <t>4056-2-948</t>
  </si>
  <si>
    <t>12 Months Standard Support and Software Maintenance for Dual optical GigaTAP module 50/50 Multimode 850nm 50/125 micron fiber requires TAP-200 chassis 1/10G</t>
  </si>
  <si>
    <t>TAP-251-SM</t>
  </si>
  <si>
    <t>4056-2-950</t>
  </si>
  <si>
    <t>Multi-Year Allowance for Advanced Support and Software Maintenance for Dual optical GigaTAP module 50/50 Multimode 850nm 62.5/125 micron fiber requires TAP-200 chassis 1/10G</t>
  </si>
  <si>
    <t>TAP-252-AS</t>
  </si>
  <si>
    <t>4056-2-951</t>
  </si>
  <si>
    <t>12 Months Premium 24x7 Support and Software Maintenance for Dual optical GigaTAP module 50/50 Multimode 850nm 62.5/125 micron fiber requires TAP-200 chassis 1/10G</t>
  </si>
  <si>
    <t>TAP-252-PM</t>
  </si>
  <si>
    <t>4056-2-952</t>
  </si>
  <si>
    <t>12 Months Standard Support and Software Maintenance for Dual optical GigaTAP module 50/50 Multimode 850nm 62.5/125 micron fiber requires TAP-200 chassis 1/10G</t>
  </si>
  <si>
    <t>TAP-252-SM</t>
  </si>
  <si>
    <t>4056-2-954</t>
  </si>
  <si>
    <t>Multi-Year Allowance for Advanced Support and Software Maintenance for Dual optical GigaTAP module 50/50 Singlemode 1310/1550nm requires TAP-200 chassis 1/10G</t>
  </si>
  <si>
    <t>TAP-253-AS</t>
  </si>
  <si>
    <t>4056-2-955</t>
  </si>
  <si>
    <t>12 Months Premium 24x7 Support and Software Maintenance for Dual optical GigaTAP module 50/50 Singlemode 1310/1550nm requires TAP-200 chassis 1/10G</t>
  </si>
  <si>
    <t>TAP-253-PM</t>
  </si>
  <si>
    <t>4056-2-956</t>
  </si>
  <si>
    <t>12 Months Standard Support and Software Maintenance for Dual optical GigaTAP module 50/50 Singlemode 1310/1550nm requires TAP-200 chassis 1/10G</t>
  </si>
  <si>
    <t>TAP-253-SM</t>
  </si>
  <si>
    <t>4056-2-958</t>
  </si>
  <si>
    <t>Multi-Year Allowance for Advanced Support and Software Maintenance for Dual optical GigaTAP module 50/50 Multimode 1310nm LRM requires TAP-200 chassis 10G (Special Order)</t>
  </si>
  <si>
    <t>TAP-255-AS</t>
  </si>
  <si>
    <t>4056-2-959</t>
  </si>
  <si>
    <t>12 Months Premium 24x7 Support and Software Maintenance for Dual optical GigaTAP module 50/50 Multimode 1310nm LRM requires TAP-200 chassis 10G (Special Order)</t>
  </si>
  <si>
    <t>TAP-255-PM</t>
  </si>
  <si>
    <t>4056-2-960</t>
  </si>
  <si>
    <t>12 Months Standard Support and Software Maintenance for Dual optical GigaTAP module 50/50 Multimode 1310nm LRM requires TAP-200 chassis 10G (Special Order)</t>
  </si>
  <si>
    <t>TAP-255-SM</t>
  </si>
  <si>
    <t>4056-2-962</t>
  </si>
  <si>
    <t>Multi-Year Allowance for Advanced Support and Software Maintenance for Dual optical GigaTAP module 60/40 Multimode 850nm 50/125 micron fiber requires TAP-200 chassis 1/10G (Special Order)</t>
  </si>
  <si>
    <t>TAP-261-AS</t>
  </si>
  <si>
    <t>4056-2-963</t>
  </si>
  <si>
    <t>12 Months Premium 24x7 Support and Software Maintenance for Dual optical GigaTAP module 60/40 Multimode 850nm 50/125 micron fiber requires TAP-200 chassis 1/10G (Special Order)</t>
  </si>
  <si>
    <t>TAP-261-PM</t>
  </si>
  <si>
    <t>4056-2-964</t>
  </si>
  <si>
    <t>12 Months Standard Support and Software Maintenance for Dual optical GigaTAP module 60/40 Multimode 850nm 50/125 micron fiber requires TAP-200 chassis 1/10G (Special Order)</t>
  </si>
  <si>
    <t>TAP-261-SM</t>
  </si>
  <si>
    <t>4056-2-966</t>
  </si>
  <si>
    <t>Multi-Year Allowance for Advanced Support and Software Maintenance for Dual optical GigaTAP module 60/40 Multimode 850nm 62.5/125 micron fiber requires TAP-200 chassis 1/10G (Special Order)</t>
  </si>
  <si>
    <t>TAP-262-AS</t>
  </si>
  <si>
    <t>4056-2-967</t>
  </si>
  <si>
    <t>12 Months Premium 24x7 Support and Software Maintenance for Dual optical GigaTAP module 60/40 Multimode 850nm 62.5/125 micron fiber requires TAP-200 chassis 1/10G (Special Order)</t>
  </si>
  <si>
    <t>TAP-262-PM</t>
  </si>
  <si>
    <t>4056-2-968</t>
  </si>
  <si>
    <t>12 Months Standard Support and Software Maintenance for Dual optical GigaTAP module 60/40 Multimode 850nm 62.5/125 micron fiber requires TAP-200 chassis 1/10G (Special Order)</t>
  </si>
  <si>
    <t>TAP-262-SM</t>
  </si>
  <si>
    <t>4056-2-970</t>
  </si>
  <si>
    <t>Multi-Year Allowance for Advanced Support and Software Maintenance for Dual optical GigaTAP module 60/40 Singlemode 1310/1550nm requires TAP-200 chassis 10G (Special Order)</t>
  </si>
  <si>
    <t>TAP-263-AS</t>
  </si>
  <si>
    <t>4056-2-971</t>
  </si>
  <si>
    <t>12 Months Premium 24x7 Support and Software Maintenance for Dual optical GigaTAP module 60/40 Singlemode 1310/1550nm requires TAP-200 chassis 10G (Special Order)</t>
  </si>
  <si>
    <t>TAP-263-PM</t>
  </si>
  <si>
    <t>4056-2-972</t>
  </si>
  <si>
    <t>12 Months Standard Support and Software Maintenance for Dual optical GigaTAP module 60/40 Singlemode 1310/1550nm requires TAP-200 chassis 10G (Special Order)</t>
  </si>
  <si>
    <t>TAP-263-SM</t>
  </si>
  <si>
    <t>4056-2-974</t>
  </si>
  <si>
    <t>Multi-Year Allowance for Advanced Support and Software Maintenance for Dual optical GigaTAP module 70/30 Multimode 850nm 50/125 micron fiber requires TAP-200 chassis 1G(nrf 10G)</t>
  </si>
  <si>
    <t>TAP-271-AS</t>
  </si>
  <si>
    <t>4056-2-975</t>
  </si>
  <si>
    <t>12 Months Premium 24x7 Support and Software Maintenance for Dual optical GigaTAP module 70/30 Multimode 850nm 50/125 micron fiber requires TAP-200 chassis 1G(nrf 10G)</t>
  </si>
  <si>
    <t>TAP-271-PM</t>
  </si>
  <si>
    <t>4056-2-976</t>
  </si>
  <si>
    <t>12 Months Standard Support and Software Maintenance for Dual optical GigaTAP module 70/30 Multimode 850nm 50/125 micron fiber requires TAP-200 chassis 1G(nrf 10G)</t>
  </si>
  <si>
    <t>TAP-271-SM</t>
  </si>
  <si>
    <t>4056-2-978</t>
  </si>
  <si>
    <t>Multi-Year Allowance for Advanced Support and Software Maintenance for Dual optical GigaTAP module 70/30 Multimode 850nm 62.5/125 micron fiber requires TAP-200 chassis1G (nrf 10G)</t>
  </si>
  <si>
    <t>TAP-272-AS</t>
  </si>
  <si>
    <t>4056-2-979</t>
  </si>
  <si>
    <t>12 Months Premium 24x7 Support and Software Maintenance for Dual optical GigaTAP module 70/30 Multimode 850nm 62.5/125 micron fiber requires TAP-200 chassis1G (nrf 10G)</t>
  </si>
  <si>
    <t>TAP-272-PM</t>
  </si>
  <si>
    <t>4056-2-980</t>
  </si>
  <si>
    <t>12 Months Standard Support and Software Maintenance for Dual optical GigaTAP module 70/30 Multimode 850nm 62.5/125 micron fiber requires TAP-200 chassis1G (nrf 10G)</t>
  </si>
  <si>
    <t>TAP-272-SM</t>
  </si>
  <si>
    <t>4056-2-982</t>
  </si>
  <si>
    <t>Multi-Year Allowance for Advanced Support and Software Maintenance for Dual optical GigaTAP module 70/30 Singlemode 1310/1550nm requires TAP-200 chassis 1/10G (Special Order)</t>
  </si>
  <si>
    <t>TAP-273-AS</t>
  </si>
  <si>
    <t>4056-2-983</t>
  </si>
  <si>
    <t>12 Months Premium 24x7 Support and Software Maintenance for Dual optical GigaTAP module 70/30 Singlemode 1310/1550nm requires TAP-200 chassis 1/10G (Special Order)</t>
  </si>
  <si>
    <t>TAP-273-PM</t>
  </si>
  <si>
    <t>4056-2-984</t>
  </si>
  <si>
    <t>12 Months Standard Support and Software Maintenance for Dual optical GigaTAP module 70/30 Singlemode 1310/1550nm requires TAP-200 chassis 1/10G (Special Order)</t>
  </si>
  <si>
    <t>TAP-273-SM</t>
  </si>
  <si>
    <t>4056-2-986</t>
  </si>
  <si>
    <t>Multi-Year Allowance for Advanced Support and Software Maintenance for Dual optical GigaTAP module 70/30 Multimode 1310nm LRM requires TAP-200 chassis10G (Special Order)</t>
  </si>
  <si>
    <t>TAP-275-AS</t>
  </si>
  <si>
    <t>4056-2-987</t>
  </si>
  <si>
    <t>12 Months Premium 24x7 Support and Software Maintenance for Dual optical GigaTAP module 70/30 Multimode 1310nm LRM requires TAP-200 chassis10G (Special Order)</t>
  </si>
  <si>
    <t>TAP-275-PM</t>
  </si>
  <si>
    <t>4056-2-988</t>
  </si>
  <si>
    <t>12 Months Standard Support and Software Maintenance for Dual optical GigaTAP module 70/30 Multimode 1310nm LRM requires TAP-200 chassis10G (Special Order)</t>
  </si>
  <si>
    <t>TAP-275-SM</t>
  </si>
  <si>
    <t>4056-2-990</t>
  </si>
  <si>
    <t>Multi-Year Allowance for Advanced Support and Software Maintenance for Dual optical HighFlow GigaTAP module 50/50 Singlemode 1310/1550nm requires TAP-200 chassis 10/40/100G (Special Order)</t>
  </si>
  <si>
    <t>TAP-453-AS</t>
  </si>
  <si>
    <t>4056-2-991</t>
  </si>
  <si>
    <t>12 Months Premium 24x7 Support and Software Maintenance for Dual optical HighFlow GigaTAP module 50/50 Singlemode 1310/1550nm requires TAP-200 chassis 10/40/100G (Special Order)</t>
  </si>
  <si>
    <t>TAP-453-PM</t>
  </si>
  <si>
    <t>4056-2-992</t>
  </si>
  <si>
    <t>12 Months Standard Support and Software Maintenance for Dual optical HighFlow GigaTAP module 50/50 Singlemode 1310/1550nm requires TAP-200 chassis 10/40/100G (Special Order)</t>
  </si>
  <si>
    <t>TAP-453-SM</t>
  </si>
  <si>
    <t>4056-2-994</t>
  </si>
  <si>
    <t>Multi-Year Allowance for Advanced Support and Software Maintenance for 1 RU BiDi TAP stand alone chassis supports up to 3 BiDi modules</t>
  </si>
  <si>
    <t>TAP-500-AS</t>
  </si>
  <si>
    <t>4056-2-996</t>
  </si>
  <si>
    <t>Multi-Year Allowance for Advanced Support and Software Maintenance for 3 RU BiDi TAP extended stand alone chassis supports up to 13 BiDi modules</t>
  </si>
  <si>
    <t>TAP-500E-AS</t>
  </si>
  <si>
    <t>4056-2-997</t>
  </si>
  <si>
    <t>12 Months Premium 24x7 Support and Software Maintenance for 3 RU BiDi TAP extended stand alone chassis supports up to 13 BiDi modules</t>
  </si>
  <si>
    <t>TAP-500E-PM</t>
  </si>
  <si>
    <t>4056-2-998</t>
  </si>
  <si>
    <t>12 Months Standard Support and Software Maintenance for 3 RU BiDi TAP extended stand alone chassis supports up to 13 BiDi modules</t>
  </si>
  <si>
    <t>TAP-500E-SM</t>
  </si>
  <si>
    <t>4056-2-999</t>
  </si>
  <si>
    <t>12 Months Premium 24x7 Support and Software Maintenance for 1 RU BiDi TAP stand alone chassis supports up to 3 BiDi modules</t>
  </si>
  <si>
    <t>TAP-500-PM</t>
  </si>
  <si>
    <t>4056-2-1000</t>
  </si>
  <si>
    <t>12 Months Standard Support and Software Maintenance for 1 RU BiDi TAP stand alone chassis supports up to 3 BiDi modules</t>
  </si>
  <si>
    <t>TAP-500-SM</t>
  </si>
  <si>
    <t>4056-2-1002</t>
  </si>
  <si>
    <t>Multi-Year Allowance for Advanced Support and Software Maintenance for Optical G-TAP BiDi module 50/50 SR requires TAP-500 or TAP-500E chassis</t>
  </si>
  <si>
    <t>TAP-506-AS</t>
  </si>
  <si>
    <t>4056-2-465</t>
  </si>
  <si>
    <t>Multi-Year Allowance for Advanced Support and Software Maintenance for XFP 850 nm Multimode FDX transceiver LC connector (EOS)</t>
  </si>
  <si>
    <t>XFP-502-AS</t>
  </si>
  <si>
    <t>4056-2-466</t>
  </si>
  <si>
    <t>12 Months Premium 24x7 Support and Software Maintenance for XFP 850 nm Multimode FDX transceiver LC connector (EOS).</t>
  </si>
  <si>
    <t>XFP-502-PM</t>
  </si>
  <si>
    <t>4056-2-467</t>
  </si>
  <si>
    <t>12 Months Standard Support and Software Maintenance for XFP 850 nm Multimode FDX transceiver LC connector (EOS).</t>
  </si>
  <si>
    <t>XFP-502-SM</t>
  </si>
  <si>
    <t>4056-2-468</t>
  </si>
  <si>
    <t>Multi-Year Allowance for Advanced Support and Software Maintenance for XFP 1310 nm Singlemode FDX transceiver LC connector (EOS)</t>
  </si>
  <si>
    <t>XFP-503-AS</t>
  </si>
  <si>
    <t>4056-2-1013</t>
  </si>
  <si>
    <t>12 Months Premium 24x7 Support and Software Maintenance for XFP 1310 nm Singlemode FDX transceiver LC connector (EOS).</t>
  </si>
  <si>
    <t>XFP-503-PM</t>
  </si>
  <si>
    <t>4056-2-1014</t>
  </si>
  <si>
    <t>12 Months Standard Support and Software Maintenance for XFP 1310 nm Singlemode FDX transceiver LC connector (EOS).</t>
  </si>
  <si>
    <t>XFP-503-SM</t>
  </si>
  <si>
    <t>4056-2-1015</t>
  </si>
  <si>
    <t>Multi-Year Allowance for Advanced Support and Software Maintenance for XFP 1550 nm Singlemode FDX transceiver LC connector (EOS)</t>
  </si>
  <si>
    <t>XFP-504-AS</t>
  </si>
  <si>
    <t>4056-2-1016</t>
  </si>
  <si>
    <t>12 Months Premium 24x7 Support and Software Maintenance for XFP 1550 nm Singlemode FDX transceiver LC connector (EOS)</t>
  </si>
  <si>
    <t>XFP-504-PM</t>
  </si>
  <si>
    <t>4056-2-1017</t>
  </si>
  <si>
    <t>12 Months Standard Support and Software Maintenance for XFP 1550 nm Singlemode FDX transceiver LC connector (EOS)</t>
  </si>
  <si>
    <t>XFP-504-SM</t>
  </si>
  <si>
    <t>4056-2-1018</t>
  </si>
  <si>
    <t>Multi-Year Allowance for Advanced Support and Software Maintenance for XFP 1550 nm Singlemode FDX transceiver 80 km LC connector (EOS)</t>
  </si>
  <si>
    <t>XFP-505-AS</t>
  </si>
  <si>
    <t>4056-2-1019</t>
  </si>
  <si>
    <t>12 Months Premium 24x7 Support and Software Maintenance for XFP 1550 nm Singlemode FDX transceiver 80 km LC connector (EOS)</t>
  </si>
  <si>
    <t>XFP-505-PM</t>
  </si>
  <si>
    <t>4056-2-1020</t>
  </si>
  <si>
    <t>12 Months Standard Support and Software Maintenance for XFP 1550 nm Singlemode FDX transceiver 80 km LC connector (EOS)</t>
  </si>
  <si>
    <t>XFP-505-SM</t>
  </si>
  <si>
    <t>4056-2-1021</t>
  </si>
  <si>
    <t>12 Months Premium 24x7 Upgrade for Battery Pack G-TAP A Series</t>
  </si>
  <si>
    <t>BAT-GTA00-U</t>
  </si>
  <si>
    <t>4056-2-1022</t>
  </si>
  <si>
    <t>12 Months Premium 24x7 Upgrade for 1GigaBPS-2SX in-line bypass module for GigaVUE-2404</t>
  </si>
  <si>
    <t>BPS-GV6-G20020-U</t>
  </si>
  <si>
    <t>4056-2-1023</t>
  </si>
  <si>
    <t>12 Months Premium 24x7 Upgrade for 1GigaBPS-2LX in-line bypass module for GigaVUE-2404 (Special Order)</t>
  </si>
  <si>
    <t>BPS-GV6-G30020-U</t>
  </si>
  <si>
    <t>4056-2-1024</t>
  </si>
  <si>
    <t>12 Months Premium 24x7 Upgrade for 10GigaBPS-2SR in-line bypass module for GigaVUE-2404</t>
  </si>
  <si>
    <t>BPS-GV6-X20020-U</t>
  </si>
  <si>
    <t>4056-2-1025</t>
  </si>
  <si>
    <t>12 Months Premium 24x7 Upgrade for 10GigaBPS-2LR in-line bypass module for GigaVUE-2404 (Special Order)</t>
  </si>
  <si>
    <t>BPS-GV6-X30020-U</t>
  </si>
  <si>
    <t>4056-2-1026</t>
  </si>
  <si>
    <t>12 Months Premium 24x7 Upgrade for Bypass Combo Module HC Series 4 SX/SR 50/125 BPS pairs 16 10G cages</t>
  </si>
  <si>
    <t>BPS-HC0-D25A4G-U</t>
  </si>
  <si>
    <t>4056-2-1027</t>
  </si>
  <si>
    <t>12 Months Premium 24x7 Upgrade for Bypass Combo Module HC Series 4 SX/SR 62.5/125 BPS pairs 16 10G cages</t>
  </si>
  <si>
    <t>BPS-HC0-D25B4G-U</t>
  </si>
  <si>
    <t>4056-2-1028</t>
  </si>
  <si>
    <t>12 Months Premium 24x7 Upgrade for Bypass Combo Module HC Series 4 LX/LR BPS pairs 16 10G cages</t>
  </si>
  <si>
    <t>BPS-HC0-D35C4G-U</t>
  </si>
  <si>
    <t>4056-2-1029</t>
  </si>
  <si>
    <t>12 Months Premium 24x7 Upgrade for Stacking Cable CX4 copper cable 5 meters</t>
  </si>
  <si>
    <t>CBL-005-U</t>
  </si>
  <si>
    <t>4056-2-1030</t>
  </si>
  <si>
    <t>12 Months Premium 24x7 Upgrade for Stacking Cable CX4 copper cable 15 meters</t>
  </si>
  <si>
    <t>CBL-015-U</t>
  </si>
  <si>
    <t>4056-2-1031</t>
  </si>
  <si>
    <t>12 Months Premium 24x7 Upgrade for SFP+ to SFP+ Direct Attach Copper cable 5 meters</t>
  </si>
  <si>
    <t>CBL-205-U</t>
  </si>
  <si>
    <t>4056-2-1032</t>
  </si>
  <si>
    <t>12 Months Premium 24x7 Upgrade for SFP+ to SFP+ Direct Attach Copper cable 10 meters (nrf G-TAP A Series) (EOS)</t>
  </si>
  <si>
    <t>CBL-210-U</t>
  </si>
  <si>
    <t>4056-2-1033</t>
  </si>
  <si>
    <t>12 Months Premium 24x7 Upgrade for SFP+ Active Fiber Cable 10 meters</t>
  </si>
  <si>
    <t>CBL-310-U</t>
  </si>
  <si>
    <t>4056-2-1034</t>
  </si>
  <si>
    <t>12 Months Premium 24x7 Upgrade for Active fiber cable 3 meters (QSFP approved) (EOS)</t>
  </si>
  <si>
    <t>CBL-403-U</t>
  </si>
  <si>
    <t>4056-2-1035</t>
  </si>
  <si>
    <t>12 Months Premium 24x7 Upgrade for Active Fiber cable 5 meters (QSFP approved)</t>
  </si>
  <si>
    <t>CBL-405-U</t>
  </si>
  <si>
    <t>4056-2-1036</t>
  </si>
  <si>
    <t>12 Months Premium 24x7 Upgrade for Active Fiber cable 10 meters (QSFP approved)</t>
  </si>
  <si>
    <t>CBL-410-U</t>
  </si>
  <si>
    <t>4056-2-1037</t>
  </si>
  <si>
    <t>12 Months Premium 24x7 Upgrade for Active Fiber cable 50 meters (QSFP approved)</t>
  </si>
  <si>
    <t>CBL-450-U</t>
  </si>
  <si>
    <t>4056-2-1038</t>
  </si>
  <si>
    <t>12 Months Premium 24x7 Upgrade for 100 Gig CFP Multimode SR10</t>
  </si>
  <si>
    <t>CFP-502-U</t>
  </si>
  <si>
    <t>4056-2-1039</t>
  </si>
  <si>
    <t>12 Months Premium 24x7 Upgrade for 100 Gig CFP Singlemode LR4</t>
  </si>
  <si>
    <t>CFP-503-U</t>
  </si>
  <si>
    <t>4056-2-1040</t>
  </si>
  <si>
    <t>12 Months Premium 24x7 Upgrade for Spare Chassis for GigaVUE-212 without Power Supplies</t>
  </si>
  <si>
    <t>CHS-GV200-U</t>
  </si>
  <si>
    <t>4056-2-1041</t>
  </si>
  <si>
    <t>12 Months Premium 24x7 Upgrade for Spare Chassis for GigaVUE-420 without Power Supplies</t>
  </si>
  <si>
    <t>CHS-GV400-U</t>
  </si>
  <si>
    <t>4056-2-1042</t>
  </si>
  <si>
    <t>12 Months Premium 24x7 Upgrade for Spare Chassis for GigaVUE-2404 without Blades and Power Supplies</t>
  </si>
  <si>
    <t>CHS-GV600-U</t>
  </si>
  <si>
    <t>4056-2-1043</t>
  </si>
  <si>
    <t>12 Months Premium 24x7 Upgrade for Spare Chassis for TA1 without Power Supplies</t>
  </si>
  <si>
    <t>CHS-HA100-U</t>
  </si>
  <si>
    <t>4056-2-1044</t>
  </si>
  <si>
    <t>12 Months Premium 24x7 Upgrade for Spare Chassis for HB1 without Power Supplies</t>
  </si>
  <si>
    <t>CHS-HB100-U</t>
  </si>
  <si>
    <t>4056-2-1045</t>
  </si>
  <si>
    <t>12 Months Premium 24x7 Upgrade for Spare Chassis for HC2 without Modules Control Cards Fans Power Supplies</t>
  </si>
  <si>
    <t>CHS-HC200-U</t>
  </si>
  <si>
    <t>4056-2-1046</t>
  </si>
  <si>
    <t>12 Months Premium 24x7 Upgrade for Spare Chassis for HD4 without Blades Control Card Fans Power Supplies</t>
  </si>
  <si>
    <t>CHS-HD400-U</t>
  </si>
  <si>
    <t>4056-2-1047</t>
  </si>
  <si>
    <t>12 Months Premium 24x7 Upgrade for Spare Chassis for HD8 without Blades Control Cards Fans Power Supplies</t>
  </si>
  <si>
    <t>CHS-HD800-U</t>
  </si>
  <si>
    <t>4056-2-1048</t>
  </si>
  <si>
    <t>12 Months Premium 24x7 Upgrade for Clustering GigaVUE-TA1 Feature license per node.</t>
  </si>
  <si>
    <t>CLS-TA100-U</t>
  </si>
  <si>
    <t>4056-2-1049</t>
  </si>
  <si>
    <t>12 Months Premium 24x7 Upgrade for Control Card HD Series each.</t>
  </si>
  <si>
    <t>CTL-H00-001-U</t>
  </si>
  <si>
    <t>4056-2-1050</t>
  </si>
  <si>
    <t>12 Months Premium 24x7 Upgrade for Control Card HC Series each.</t>
  </si>
  <si>
    <t>CTL-HC0-001-U</t>
  </si>
  <si>
    <t>4056-2-1051</t>
  </si>
  <si>
    <t>12 Months Premium 24x7 Upgrade for Control Card Version 2 HD Series each.</t>
  </si>
  <si>
    <t>CTL-HD0-002-U</t>
  </si>
  <si>
    <t>4056-2-1052</t>
  </si>
  <si>
    <t>12 Months Premium 24x7 Upgrade for GigaVUE -2404 Fan Assembly High Speed each (2 required) (Special Order)</t>
  </si>
  <si>
    <t>FAN-GV60S-U</t>
  </si>
  <si>
    <t>4056-2-1053</t>
  </si>
  <si>
    <t>12 Months Premium 24x7 Upgrade for GigaVUE-HB1 Fan Assembly each (2 required)</t>
  </si>
  <si>
    <t>FAN-HB100-U</t>
  </si>
  <si>
    <t>4056-2-1054</t>
  </si>
  <si>
    <t>12 Months Premium 24x7 Upgrade for GigaVUE-HC2 Fan Assembly each (1 required)</t>
  </si>
  <si>
    <t>FAN-HC200-U</t>
  </si>
  <si>
    <t>4056-2-1055</t>
  </si>
  <si>
    <t>12 Months Premium 24x7 Upgrade for GigaVUE-HD4 Fan Assembly each (2 required)</t>
  </si>
  <si>
    <t>FAN-HD400-U</t>
  </si>
  <si>
    <t>4056-2-1056</t>
  </si>
  <si>
    <t>12 Months Premium 24x7 Upgrade for GigaVUE-HD8 Fan Assembly</t>
  </si>
  <si>
    <t>FAN-HD800-U</t>
  </si>
  <si>
    <t>4056-2-1057</t>
  </si>
  <si>
    <t>12 Months Premium 24x7 Upgrade for GigaVUE-HD8 Fan Assembly S Style (Special Order)</t>
  </si>
  <si>
    <t>FAN-HD80S-U</t>
  </si>
  <si>
    <t>4056-2-1058</t>
  </si>
  <si>
    <t>12 Months Premium 24x7 Upgrade for GigaVUE-TA1 Fan Assembly each (2 required)</t>
  </si>
  <si>
    <t>FAN-TA100-U</t>
  </si>
  <si>
    <t>4056-2-1059</t>
  </si>
  <si>
    <t>12 Months Premium 24x7 Upgrade for GigaVUE-HD4 Filter Assembly</t>
  </si>
  <si>
    <t>FIL-HD400-U</t>
  </si>
  <si>
    <t>4056-2-1060</t>
  </si>
  <si>
    <t>12 Months Premium 24x7 Upgrade for GigaVUE-HD8 Filter Assembly</t>
  </si>
  <si>
    <t>FIL-HD800-U</t>
  </si>
  <si>
    <t>4056-2-1061</t>
  </si>
  <si>
    <t>12 Months Premium 24x7 Upgrade for GigaVUE Fabric Manager (FM) Centralized Management SW Base License.</t>
  </si>
  <si>
    <t>GFM-FM000-U</t>
  </si>
  <si>
    <t>4056-2-1062</t>
  </si>
  <si>
    <t>12 Months Premium 24x7 Upgrade for GigaVUE-VM 10 Pack Bundle SW License Extension.</t>
  </si>
  <si>
    <t>GFM-VM010-U</t>
  </si>
  <si>
    <t>4056-2-1063</t>
  </si>
  <si>
    <t>12 Months Premium 24x7 Upgrade for GigaVUE-VM 50 Pack Bundle SW License Extension.</t>
  </si>
  <si>
    <t>GFM-VM050-U</t>
  </si>
  <si>
    <t>4056-2-1064</t>
  </si>
  <si>
    <t>12 Months Premium 24x7 Upgrade for GigaVUE-VM 100 Pack Bundle SW License Extension.</t>
  </si>
  <si>
    <t>GFM-VM100-U</t>
  </si>
  <si>
    <t>4056-2-1065</t>
  </si>
  <si>
    <t>12 Months Premium 24x7 Upgrade for GigaVUE-VM 250 Pack Bundle SW License Extension.</t>
  </si>
  <si>
    <t>GFM-VM250-U</t>
  </si>
  <si>
    <t>4056-2-1066</t>
  </si>
  <si>
    <t>12 Months Premium 24x7 Upgrade for GigaLINK-X for GigaVUE-420 empty XFP cage 10 Gig port module (EOS)</t>
  </si>
  <si>
    <t>GLK-310-U</t>
  </si>
  <si>
    <t>4056-2-1067</t>
  </si>
  <si>
    <t>12 Months Premium 24x7 Upgrade for GigaLINK-Cu -CX4 for GigaVUE-420 10 Gig copper stacking port</t>
  </si>
  <si>
    <t>GLK-311-U</t>
  </si>
  <si>
    <t>4056-2-1068</t>
  </si>
  <si>
    <t>12 Months Premium 24x7 Upgrade for GigaLINK-SR -XFP for GigaVUE-420 MM 850 10 Gig port module (EOS)</t>
  </si>
  <si>
    <t>GLK-312-U</t>
  </si>
  <si>
    <t>4056-2-1069</t>
  </si>
  <si>
    <t>12 Months Premium 24x7 Upgrade for GigaLINK-LR -XFP for GigaVUE-420 SM 1310 10 Gig port module (EOS)</t>
  </si>
  <si>
    <t>GLK-313-U</t>
  </si>
  <si>
    <t>4056-2-1070</t>
  </si>
  <si>
    <t>12 Months Premium 24x7 Upgrade for GigaLINK-ER -XFP for GigaVUE-420 SM 1550 10 Gig port module (EOS)</t>
  </si>
  <si>
    <t>GLK-314-U</t>
  </si>
  <si>
    <t>4056-2-1071</t>
  </si>
  <si>
    <t>12 Months Premium 24x7 Upgrade for GigaLINK-SFP+ for GigaVUE-420 empty SFP+ cage 10 Gig port module</t>
  </si>
  <si>
    <t>GLK-320-U</t>
  </si>
  <si>
    <t>4056-2-1072</t>
  </si>
  <si>
    <t>12 Months Premium 24x7 Upgrade for GigaLINK-SR -SFP+ for GigaVUE-420 MM 850 10 Gig port module</t>
  </si>
  <si>
    <t>GLK-322-U</t>
  </si>
  <si>
    <t>4056-2-1073</t>
  </si>
  <si>
    <t>12 Months Premium 24x7 Upgrade for GigaLINK-LR -SFP+ for GigaVUE-420 SM 1310 10 Gig port module</t>
  </si>
  <si>
    <t>GLK-323-U</t>
  </si>
  <si>
    <t>4056-2-1074</t>
  </si>
  <si>
    <t>12 Months Premium 24x7 Upgrade for GigaLINK-ER -SFP+ for GigaVUE-420 SM 1550 10 Gig port module (Special Order)</t>
  </si>
  <si>
    <t>GLK-324-U</t>
  </si>
  <si>
    <t>4056-2-1075</t>
  </si>
  <si>
    <t>12 Months Premium 24x7 Upgrade for GigaLINK-SFP+ LRM for GigaVUE-420 MM 1310 10 Gig port module (Special Order)</t>
  </si>
  <si>
    <t>GLK-325-U</t>
  </si>
  <si>
    <t>4056-2-1076</t>
  </si>
  <si>
    <t>12 Months Premium 24x7 Upgrade for One Day On-Site Design Optimization Implementation Assistance includes travel (North America Only)</t>
  </si>
  <si>
    <t>GPS-PS8-NAO-U</t>
  </si>
  <si>
    <t>4056-2-1077</t>
  </si>
  <si>
    <t>12 Months Premium 24x7 Upgrade for One Day Remote  Design Optimization Implementation Assistance Best suited for Staging and custom configuration assistance. (Available World Wide)</t>
  </si>
  <si>
    <t>GPS-PS8-WWR-U</t>
  </si>
  <si>
    <t>4056-2-1078</t>
  </si>
  <si>
    <t>12 Months Premium 24x7 Upgrade for G-SECURE-0216 In-line distribution node Multimode AC power</t>
  </si>
  <si>
    <t>GSC-GMM01-U</t>
  </si>
  <si>
    <t>4056-2-1079</t>
  </si>
  <si>
    <t>12 Months Premium 24x7 Upgrade for G-SECURE-0216 In-line distribution node Multimode DC power</t>
  </si>
  <si>
    <t>GSC-GMM02-U</t>
  </si>
  <si>
    <t>4056-2-1080</t>
  </si>
  <si>
    <t>12 Months Premium 24x7 Upgrade for G-SECURE-0216 In-line distribution node Singlemode AC power</t>
  </si>
  <si>
    <t>GSC-GSM01-U</t>
  </si>
  <si>
    <t>4056-2-1081</t>
  </si>
  <si>
    <t>12 Months Premium 24x7 Upgrade for G-SECURE-0216 In-line distribution node Singlemode DC power</t>
  </si>
  <si>
    <t>GSC-GSM02-U</t>
  </si>
  <si>
    <t>4056-2-1082</t>
  </si>
  <si>
    <t>12 Months Premium 24x7 Upgrade for G-TAP A Series Always On SFP/SFP+ TAP No Power</t>
  </si>
  <si>
    <t>GTP-ASF00-U</t>
  </si>
  <si>
    <t>4056-2-1083</t>
  </si>
  <si>
    <t>12 Months Premium 24x7 Upgrade for G-TAP A Series Always On SFP/SFP+ TAP AC Power</t>
  </si>
  <si>
    <t>GTP-ASF01-U</t>
  </si>
  <si>
    <t>4056-2-1084</t>
  </si>
  <si>
    <t>12 Months Premium 24x7 Upgrade for G-TAP A Series Always On SFP/SFP+ TAP DC Power</t>
  </si>
  <si>
    <t>GTP-ASF02-U</t>
  </si>
  <si>
    <t>4056-2-1085</t>
  </si>
  <si>
    <t>12 Months Premium 24x7 Upgrade for G-TAP A Series Always On copper TAP No Power</t>
  </si>
  <si>
    <t>GTP-ATX00-U</t>
  </si>
  <si>
    <t>4056-2-1086</t>
  </si>
  <si>
    <t>12 Months Premium 24x7 Upgrade for G-TAP A Series Always On copper TAP AC Power</t>
  </si>
  <si>
    <t>GTP-ATX01-U</t>
  </si>
  <si>
    <t>4056-2-1087</t>
  </si>
  <si>
    <t>12 Months Premium 24x7 Upgrade for G-TAP A Series Always On copper TAP DC Power</t>
  </si>
  <si>
    <t>GTP-ATX02-U</t>
  </si>
  <si>
    <t>4056-2-1088</t>
  </si>
  <si>
    <t>12 Months Premium 24x7 Upgrade for GigaVUE-212 8x1Gig copper or SFP and 2x10Gig SFP+ port single AC power</t>
  </si>
  <si>
    <t>GVS-212-U</t>
  </si>
  <si>
    <t>4056-2-1089</t>
  </si>
  <si>
    <t>12 Months Premium 24x7 Upgrade for GigaVUE-212 8x1Gig copper or SFP and 2x10Gig SFP+ port single DC power</t>
  </si>
  <si>
    <t>GVS-213-U</t>
  </si>
  <si>
    <t>4056-2-1090</t>
  </si>
  <si>
    <t>12 Months Premium 24x7 Upgrade for GigaVUE-420 4 copper port AC power</t>
  </si>
  <si>
    <t>GVS-421-U</t>
  </si>
  <si>
    <t>4056-2-1091</t>
  </si>
  <si>
    <t>12 Months Premium 24x7 Upgrade for GigaVUE-420 4 SFP Cages AC power</t>
  </si>
  <si>
    <t>GVS-422-U</t>
  </si>
  <si>
    <t>4056-2-1092</t>
  </si>
  <si>
    <t>12 Months Premium 24x7 Upgrade for GigaVUE-420 4 copper port DC power</t>
  </si>
  <si>
    <t>GVS-423-U</t>
  </si>
  <si>
    <t>4056-2-1093</t>
  </si>
  <si>
    <t>12 Months Premium 24x7 Upgrade for GigaVUE-420 4 SFP Cages DC power</t>
  </si>
  <si>
    <t>GVS-424-U</t>
  </si>
  <si>
    <t>4056-2-1094</t>
  </si>
  <si>
    <t>12 Months Premium 24x7 Upgrade for GigaVUE-2404N 8 10G ports 4 1G ports AC power NEBS certified</t>
  </si>
  <si>
    <t>GVS-432N-U</t>
  </si>
  <si>
    <t>4056-2-1095</t>
  </si>
  <si>
    <t>12 Months Premium 24x7 Upgrade for GigaVUE-2404 8 10G ports 4 1G ports AC power</t>
  </si>
  <si>
    <t>GVS-432-U</t>
  </si>
  <si>
    <t>4056-2-1096</t>
  </si>
  <si>
    <t>12 Months Premium 24x7 Upgrade for GigaVUE-2404N 8 10G ports 4 1G ports DC power NEBS certified</t>
  </si>
  <si>
    <t>GVS-434N-U</t>
  </si>
  <si>
    <t>4056-2-1097</t>
  </si>
  <si>
    <t>12 Months Premium 24x7 Upgrade for GigaVUE-2404 8 10G ports 4 1G ports DC power</t>
  </si>
  <si>
    <t>GVS-434-U</t>
  </si>
  <si>
    <t>4056-2-1098</t>
  </si>
  <si>
    <t>12 Months Premium 24x7 Upgrade for GigaVUE-HB1-0416 branch node 4 10G cages 8 1G cages 8 1G copper 2 Fan Trays Single AC power</t>
  </si>
  <si>
    <t>GVS-HB101-0416-U</t>
  </si>
  <si>
    <t>4056-2-1099</t>
  </si>
  <si>
    <t>12 Months Premium 24x7 Upgrade for GigaVUE-HB1-0416 branch node 4 10G cages 8 1G cages 8 1G copper 2 Fan Trays Single DC power</t>
  </si>
  <si>
    <t>GVS-HB102-0416-U</t>
  </si>
  <si>
    <t>4056-2-1100</t>
  </si>
  <si>
    <t>12 Months Premium 24x7 Upgrade for GigaVUE-HC2 base unit w/ chassis Control Card 1 Fan Tray CLI 2 power supplies AC power</t>
  </si>
  <si>
    <t>GVS-HC201-U</t>
  </si>
  <si>
    <t>4056-2-1101</t>
  </si>
  <si>
    <t>12 Months Premium 24x7 Upgrade for GigaVUE-HC2 base unit w/ chassis Control Card 1 Fan Tray CLI 2 power supplies DC power</t>
  </si>
  <si>
    <t>GVS-HC202-U</t>
  </si>
  <si>
    <t>4056-2-1102</t>
  </si>
  <si>
    <t>12 Months Premium 24x7 Upgrade for GigaVUE-HD4 base unit w/ chassis Control Card Fans CLI AC power</t>
  </si>
  <si>
    <t>GVS-HD401-U</t>
  </si>
  <si>
    <t>4056-2-1103</t>
  </si>
  <si>
    <t>12 Months Premium 24x7 Upgrade for GigaVUE-HD4 base unit w/ chassis Control Card Fans CLI DC power</t>
  </si>
  <si>
    <t>GVS-HD402-U</t>
  </si>
  <si>
    <t>4056-2-1104</t>
  </si>
  <si>
    <t>12 Months Premium 24x7 Upgrade for GigaVUE-HD4 base unit w/ chassis Version 2 Control Card Fans CLI AC power</t>
  </si>
  <si>
    <t>GVS-HD4A1-U</t>
  </si>
  <si>
    <t>4056-2-1105</t>
  </si>
  <si>
    <t>12 Months Premium 24x7 Upgrade for GigaVUE-HD4 base unit w/ chassis Version 2 Control Card Fans CLI DC power</t>
  </si>
  <si>
    <t>GVS-HD4A2-U</t>
  </si>
  <si>
    <t>4056-2-1106</t>
  </si>
  <si>
    <t>12 Months Premium 24x7 Upgrade for GigaVUE-HD8 base unit w/ chassis 2 Control Cards Fans CLI AC power</t>
  </si>
  <si>
    <t>GVS-HD801-U</t>
  </si>
  <si>
    <t>4056-2-1107</t>
  </si>
  <si>
    <t>12 Months Premium 24x7 Upgrade for GigaVUE-HD8 base unit w/ chassis 2 Control Cards Fans CLI DC power</t>
  </si>
  <si>
    <t>GVS-HD802-U</t>
  </si>
  <si>
    <t>4056-2-1108</t>
  </si>
  <si>
    <t>12 Months Premium 24x7 Upgrade for GigaVUE-HD8 base unit w/ chassis 2 Version 2 Control Cards Fans CLI AC power</t>
  </si>
  <si>
    <t>GVS-HD8A1-U</t>
  </si>
  <si>
    <t>4056-2-1109</t>
  </si>
  <si>
    <t>12 Months Premium 24x7 Upgrade for GigaVUE-HD8 base unit w/ chassis 2 Version 2 Control Cards Fans CLI DC power</t>
  </si>
  <si>
    <t>GVS-HD8A2-U</t>
  </si>
  <si>
    <t>4056-2-1110</t>
  </si>
  <si>
    <t>12 Months Premium 24x7 Upgrade for GigaVUE-TA1 traffic aggregator 24 10G ports enabled single power supply AC power</t>
  </si>
  <si>
    <t>GVS-TA101-U</t>
  </si>
  <si>
    <t>4056-2-1111</t>
  </si>
  <si>
    <t>12 Months Premium 24x7 Upgrade for GigaVUE-TA1 traffic aggregator 24 10G ports enabled single power supply DC power</t>
  </si>
  <si>
    <t>GVS-TA102-U</t>
  </si>
  <si>
    <t>4056-2-1112</t>
  </si>
  <si>
    <t>12 Months Premium 24x7 Upgrade for Power Brick for G-TAP A Series (AC to DC transformer)</t>
  </si>
  <si>
    <t>PBK-GTA01-U</t>
  </si>
  <si>
    <t>4056-2-1113</t>
  </si>
  <si>
    <t>12 Months Premium 24x7 Upgrade for Power Brick for G-TAP A Series (AC to DC transformer) EU Plug</t>
  </si>
  <si>
    <t>PBK-GTA03-U</t>
  </si>
  <si>
    <t>4056-2-1114</t>
  </si>
  <si>
    <t>12 Months Premium 24x7 Upgrade for Power Brick for G-TAP A Series (AC to DC transformer) UK Plug</t>
  </si>
  <si>
    <t>PBK-GTA05-U</t>
  </si>
  <si>
    <t>4056-2-1115</t>
  </si>
  <si>
    <t>12 Months Premium 24x7 Upgrade for Power Brick for G-TAP A Series (AC to DC transformer) AU Plug</t>
  </si>
  <si>
    <t>PBK-GTA07-U</t>
  </si>
  <si>
    <t>4056-2-1116</t>
  </si>
  <si>
    <t>12 Months Premium 24x7 Upgrade for Spare Power Cord 125VAC</t>
  </si>
  <si>
    <t>PCD-00001-U</t>
  </si>
  <si>
    <t>4056-2-1129</t>
  </si>
  <si>
    <t>12 Months Premium 24x7 Upgrade for 10 GigaPORT-5X3C 5x10G fiber SFP+ plus 3xCX4 copper port expansion blade for GigaVUE-2404N NEBS certified (Special Order)</t>
  </si>
  <si>
    <t>PRT-435N-U</t>
  </si>
  <si>
    <t>4056-2-1130</t>
  </si>
  <si>
    <t>12 Months Premium 24x7 Upgrade for 10 GigaPORT-5X3C 5x10G fiber SFP+ plus 3xCX4 copper port expansion blade for GigaVUE-2404 (Special Order)</t>
  </si>
  <si>
    <t>PRT-435-U</t>
  </si>
  <si>
    <t>4056-2-1131</t>
  </si>
  <si>
    <t>12 Months Premium 24x7 Upgrade for 10 GigaPORT-8X 8x10G fiber SFP+ port expansion for GigaVUE-2404N NEBS certified</t>
  </si>
  <si>
    <t>PRT-438N-U</t>
  </si>
  <si>
    <t>4056-2-1132</t>
  </si>
  <si>
    <t>12 Months Premium 24x7 Upgrade for 10 GigaPORT-8X 8x10G fiber SFP+ port expansion blade for GigaVUE-2404</t>
  </si>
  <si>
    <t>PRT-438-U</t>
  </si>
  <si>
    <t>4056-2-1133</t>
  </si>
  <si>
    <t>12 Months Premium 24x7 Upgrade for 10 GigaPORT-8C 8x10G copper CX4 port clustering hub blade for GigaVUE-2404N NEBS certified (Special Order)</t>
  </si>
  <si>
    <t>PRT-439N-U</t>
  </si>
  <si>
    <t>4056-2-1134</t>
  </si>
  <si>
    <t>12 Months Premium 24x7 Upgrade for 10 GigaPORT-8C 8x10G copper CX4 port clustering hub blade for GigaVUE-2404 (Special Order)</t>
  </si>
  <si>
    <t>PRT-439-U</t>
  </si>
  <si>
    <t>4056-2-1135</t>
  </si>
  <si>
    <t>12 Months Premium 24x7 Upgrade for Port Blade HD Series 2x40G 32x10G (24 10G + 2 40G or 32 10G active)</t>
  </si>
  <si>
    <t>PRT-H00-Q02X32-U</t>
  </si>
  <si>
    <t>4056-2-1136</t>
  </si>
  <si>
    <t>12 Months Premium 24x7 Upgrade for Port Blade HD Series 4x10G 44x1G</t>
  </si>
  <si>
    <t>PRT-H00-X04G44-U</t>
  </si>
  <si>
    <t>4056-2-1137</t>
  </si>
  <si>
    <t>12 Months Premium 24x7 Upgrade for Port Blade HD Series 12x10G 4x1G</t>
  </si>
  <si>
    <t>PRT-H00-X12G04-U</t>
  </si>
  <si>
    <t>4056-2-1138</t>
  </si>
  <si>
    <t>12 Months Premium 24x7 Upgrade for Port Blade HD Series 12x10G Time Stamp</t>
  </si>
  <si>
    <t>PRT-H00-X12TS-U</t>
  </si>
  <si>
    <t>4056-2-1139</t>
  </si>
  <si>
    <t>12 Months Premium 24x7 Upgrade for Port Module HC Series 6x40G</t>
  </si>
  <si>
    <t>PRT-HC0-Q06-U</t>
  </si>
  <si>
    <t>4056-2-1140</t>
  </si>
  <si>
    <t>12 Months Premium 24x7 Upgrade for Port Module HC Series 24x10G</t>
  </si>
  <si>
    <t>PRT-HC0-X24-U</t>
  </si>
  <si>
    <t>4056-2-1141</t>
  </si>
  <si>
    <t>12 Months Premium 24x7 Upgrade for Port Blade HD Series 1x100G</t>
  </si>
  <si>
    <t>PRT-HD0-C01-U</t>
  </si>
  <si>
    <t>4056-2-1142</t>
  </si>
  <si>
    <t>12 Months Premium 24x7 Upgrade for Port Blade HD Series 2x100G CFP cages + 8x10G cages</t>
  </si>
  <si>
    <t>PRT-HD0-C02X08-U</t>
  </si>
  <si>
    <t>4056-2-1143</t>
  </si>
  <si>
    <t>12 Months Premium 24x7 Upgrade for Port Blade HD Series 8x40G</t>
  </si>
  <si>
    <t>PRT-HD0-Q08-U</t>
  </si>
  <si>
    <t>4056-2-1144</t>
  </si>
  <si>
    <t>12 Months Premium 24x7 Upgrade for Power Supply Canister GigaVUE-HD4 AC (each)</t>
  </si>
  <si>
    <t>PSC-HD401-U</t>
  </si>
  <si>
    <t>4056-2-1145</t>
  </si>
  <si>
    <t>12 Months Premium 24x7 Upgrade for Power Supply Canister GigaVUE-HD4 DC (each)</t>
  </si>
  <si>
    <t>PSC-HD402-U</t>
  </si>
  <si>
    <t>4056-2-1146</t>
  </si>
  <si>
    <t>12 Months Premium 24x7 Upgrade for Power Supply Canister GigaVUE-HD8 AC (each)</t>
  </si>
  <si>
    <t>PSC-HD801-U</t>
  </si>
  <si>
    <t>4056-2-1147</t>
  </si>
  <si>
    <t>12 Months Premium 24x7 Upgrade for Power Supply Canister GigaVUE-HD8 DC (each)</t>
  </si>
  <si>
    <t>PSC-HD802-U</t>
  </si>
  <si>
    <t>4056-2-1148</t>
  </si>
  <si>
    <t>12 Months Premium 24x7 Upgrade for Power Supply Tray powers up to 8 RMT-GTA03 trays AC Power</t>
  </si>
  <si>
    <t>PST-GTA01-U</t>
  </si>
  <si>
    <t>4056-2-1149</t>
  </si>
  <si>
    <t>12 Months Premium 24x7 Upgrade for Power Supply Tray powers up to 8 RMT-GTA03 trays DC Power</t>
  </si>
  <si>
    <t>PST-GTA02-U</t>
  </si>
  <si>
    <t>4056-2-1150</t>
  </si>
  <si>
    <t>12 Months Premium 24x7 Upgrade for 110/240 V AC power supply module HB1 420 212 or G-SECURE chassis</t>
  </si>
  <si>
    <t>PWR-2AC-U</t>
  </si>
  <si>
    <t>4056-2-1151</t>
  </si>
  <si>
    <t>12 Months Premium 24x7 Upgrade for -48 V DC power supply module HB1 420 212 or G-SECURE chassis</t>
  </si>
  <si>
    <t>PWR-2DC-U</t>
  </si>
  <si>
    <t>4056-2-1152</t>
  </si>
  <si>
    <t>12 Months Premium 24x7 Upgrade for Single 110/240 V AC power supply module 2404 chassis</t>
  </si>
  <si>
    <t>PWR-3AC-U</t>
  </si>
  <si>
    <t>4056-2-1153</t>
  </si>
  <si>
    <t>12 Months Premium 24x7 Upgrade for Single -48 V DC power supply module 2404 chassis</t>
  </si>
  <si>
    <t>PWR-3DC-U</t>
  </si>
  <si>
    <t>4056-2-1154</t>
  </si>
  <si>
    <t>12 Months Premium 24x7 Upgrade for Spare Power Supply Module Requires G-TAP A Series Power Supply Tray AC</t>
  </si>
  <si>
    <t>PWR-GTA01-U</t>
  </si>
  <si>
    <t>4056-2-1155</t>
  </si>
  <si>
    <t>12 Months Premium 24x7 Upgrade for Spare Power Supply Module Requires G-TAP A Series Power Supply Tray DC</t>
  </si>
  <si>
    <t>PWR-GTA02-U</t>
  </si>
  <si>
    <t>4056-2-1156</t>
  </si>
  <si>
    <t>12 Months Premium 24x7 Upgrade for Power Supply Module GigaVUE-HC2 AC</t>
  </si>
  <si>
    <t>PWR-HC201-U</t>
  </si>
  <si>
    <t>4056-2-1157</t>
  </si>
  <si>
    <t>12 Months Premium 24x7 Upgrade for Power Supply Module GigaVUE-HC2 DC</t>
  </si>
  <si>
    <t>PWR-HC202-U</t>
  </si>
  <si>
    <t>4056-2-1158</t>
  </si>
  <si>
    <t>12 Months Premium 24x7 Upgrade for Power Supply Module GigaVUE-TA1 AC</t>
  </si>
  <si>
    <t>PWR-TA101-U</t>
  </si>
  <si>
    <t>4056-2-1159</t>
  </si>
  <si>
    <t>12 Months Premium 24x7 Upgrade for Power Supply Module GigaVUE-TA1 DC</t>
  </si>
  <si>
    <t>PWR-TA102-U</t>
  </si>
  <si>
    <t>4056-2-1160</t>
  </si>
  <si>
    <t>12 Months Premium 24x7 Upgrade for 40 Gig QSFP+ BiDi Multimode SR RX-only</t>
  </si>
  <si>
    <t>QSB-501-U</t>
  </si>
  <si>
    <t>4056-2-1128</t>
  </si>
  <si>
    <t>12 Months Premium 24x7 Upgrade for GigaPORT 4 port expansion module</t>
  </si>
  <si>
    <t>PRT-400-U</t>
  </si>
  <si>
    <t>4056-2-1127</t>
  </si>
  <si>
    <t>12 Months Premium 24x7 Upgrade for GigaPORT-SFP 4x1G SFP cage expansion module for 212 chassis</t>
  </si>
  <si>
    <t>PRT-202-U</t>
  </si>
  <si>
    <t>4056-2-1126</t>
  </si>
  <si>
    <t>12 Months Premium 24x7 Upgrade for Patch Panel Optical4xMPO to 16xLC-Duplex MultiMode (for use with GigaVUE-TA1)</t>
  </si>
  <si>
    <t>PNL-0MMA0-U</t>
  </si>
  <si>
    <t>4056-2-1125</t>
  </si>
  <si>
    <t>12 Months Premium 24x7 Upgrade for Power Cord right angle JP plug (recommended for GigaVUE HD Series)</t>
  </si>
  <si>
    <t>PCD-000R9-U</t>
  </si>
  <si>
    <t>4056-2-1124</t>
  </si>
  <si>
    <t>12 Months Premium 24x7 Upgrade for Power Cord right angle AU plug (recommended for GigaVUE HD Series)</t>
  </si>
  <si>
    <t>PCD-000R7-U</t>
  </si>
  <si>
    <t>4056-2-1123</t>
  </si>
  <si>
    <t>12 Months Premium 24x7 Upgrade for Power Cord right angle UK plug (recommended for GigaVUE HD Series)</t>
  </si>
  <si>
    <t>PCD-000R5-U</t>
  </si>
  <si>
    <t>4056-2-1122</t>
  </si>
  <si>
    <t>12 Months Premium 24x7 Upgrade for Power Cord right angle EU plug (recommended for GigaVUE HD Series)</t>
  </si>
  <si>
    <t>PCD-000R3-U</t>
  </si>
  <si>
    <t>4056-2-1121</t>
  </si>
  <si>
    <t>12 Months Premium 24x7 Upgrade for Spare Power Cord right angle 125VAC (recommended for GigaVUE HD Series)</t>
  </si>
  <si>
    <t>PCD-000R1-U</t>
  </si>
  <si>
    <t>4056-2-1120</t>
  </si>
  <si>
    <t>12 Months Premium 24x7 Upgrade for Power Cord JP plug</t>
  </si>
  <si>
    <t>PCD-00009-U</t>
  </si>
  <si>
    <t>4056-2-1119</t>
  </si>
  <si>
    <t>12 Months Premium 24x7 Upgrade for Power Cord AU plug</t>
  </si>
  <si>
    <t>PCD-00007-U</t>
  </si>
  <si>
    <t>4056-2-1118</t>
  </si>
  <si>
    <t>12 Months Premium 24x7 Upgrade for Power Cord UK plug</t>
  </si>
  <si>
    <t>PCD-00005-U</t>
  </si>
  <si>
    <t>4056-2-1117</t>
  </si>
  <si>
    <t>12 Months Premium 24x7 Upgrade for Power Cord EU plug</t>
  </si>
  <si>
    <t>PCD-00003-U</t>
  </si>
  <si>
    <t>4056-2-1161</t>
  </si>
  <si>
    <t>12 Months Premium 24x7 Upgrade for 40 Gig QSFP+ Multimode SR4</t>
  </si>
  <si>
    <t>QSF-502-U</t>
  </si>
  <si>
    <t>4056-2-1162</t>
  </si>
  <si>
    <t>12 Months Premium 24x7 Upgrade for 40 Gig QSFP+ Singlemode LR4</t>
  </si>
  <si>
    <t>QSF-503-U</t>
  </si>
  <si>
    <t>4056-2-1163</t>
  </si>
  <si>
    <t>12 Months Premium 24x7 Upgrade for Optional Rear Mounting Bracket 45 cm for GigaVUE-TA1 or GigaVUE-HB1</t>
  </si>
  <si>
    <t>RMB-045-U</t>
  </si>
  <si>
    <t>4056-2-1164</t>
  </si>
  <si>
    <t>12 Months Premium 24x7 Upgrade for Optional extra long Rear Mounting Bracket 65 cm</t>
  </si>
  <si>
    <t>RMB-065-U</t>
  </si>
  <si>
    <t>4056-2-1165</t>
  </si>
  <si>
    <t>12 Months Premium 24x7 Upgrade for Rack Mount Tray 3-across G-TAP A Series (EOS)</t>
  </si>
  <si>
    <t>RMT-GTA01-U</t>
  </si>
  <si>
    <t>4056-2-1166</t>
  </si>
  <si>
    <t>12 Months Premium 24x7 Upgrade for Rack Mount Tray 3-bay G-TAP A Series</t>
  </si>
  <si>
    <t>RMT-GTA03-U</t>
  </si>
  <si>
    <t>4056-2-1167</t>
  </si>
  <si>
    <t>12 Months Premium 24x7 Upgrade for Contracted Support Services - yearly contracted fee for hardware and software support</t>
  </si>
  <si>
    <t>RNL-CSS-200-U</t>
  </si>
  <si>
    <t>4056-2-1168</t>
  </si>
  <si>
    <t>12 Months Premium 24x7 Upgrade for 1 Gig SFP Copper UTP with RJ45 interface</t>
  </si>
  <si>
    <t>SFP-501-U</t>
  </si>
  <si>
    <t>4056-2-1169</t>
  </si>
  <si>
    <t>12 Months Premium 24x7 Upgrade for 1 Gig SFP Multimode 850</t>
  </si>
  <si>
    <t>SFP-502-U</t>
  </si>
  <si>
    <t>4056-2-1170</t>
  </si>
  <si>
    <t>12 Months Premium 24x7 Upgrade for 1 Gig SFP Singlemode 1310</t>
  </si>
  <si>
    <t>SFP-503-U</t>
  </si>
  <si>
    <t>4056-2-1171</t>
  </si>
  <si>
    <t>12 Months Premium 24x7 Upgrade for 1 Gig SFP Singlemode 1550 (Special Order)</t>
  </si>
  <si>
    <t>SFP-504-U</t>
  </si>
  <si>
    <t>4056-2-1172</t>
  </si>
  <si>
    <t>12 Months Premium 24x7 Upgrade for 10 Gig SFP+ Multimode 850nm SR</t>
  </si>
  <si>
    <t>SFP-532-U</t>
  </si>
  <si>
    <t>4056-2-1173</t>
  </si>
  <si>
    <t>12 Months Premium 24x7 Upgrade for 10 Gig SFP+ Singlemode 1310nm LR</t>
  </si>
  <si>
    <t>SFP-533-U</t>
  </si>
  <si>
    <t>4056-2-1174</t>
  </si>
  <si>
    <t>12 Months Premium 24x7 Upgrade for 10 Gig SFP+ Singlemode 1550nm ER (Special Order)</t>
  </si>
  <si>
    <t>SFP-534-U</t>
  </si>
  <si>
    <t>4056-2-1175</t>
  </si>
  <si>
    <t>12 Months Premium 24x7 Upgrade for 10 Gig SFP+ Multimode 1310nm LRM (Special Order)</t>
  </si>
  <si>
    <t>SFP-535-U</t>
  </si>
  <si>
    <t>4056-2-1176</t>
  </si>
  <si>
    <t>12 Months Premium 24x7 Upgrade for GigaSMART 6 port 2404 blade only no licenses included on base model.</t>
  </si>
  <si>
    <t>SMT-436-U</t>
  </si>
  <si>
    <t>4056-2-1177</t>
  </si>
  <si>
    <t>12 Months Premium 24x7 Upgrade for GigaSMART-Base Configuration (Slice Masking Source Port) features module license per GigaSMART blade.</t>
  </si>
  <si>
    <t>SMT-BSE-U</t>
  </si>
  <si>
    <t>4056-2-1178</t>
  </si>
  <si>
    <t>12 Months Premium 24x7 Upgrade for GigaSMART-De-Duplication feature module license per GigaSMART blade.</t>
  </si>
  <si>
    <t>SMT-DDP-U</t>
  </si>
  <si>
    <t>4056-2-1179</t>
  </si>
  <si>
    <t>12 Months Premium 24x7 Upgrade for GigaSMART-Filtering feature module license per GigaSMART blade (not released).</t>
  </si>
  <si>
    <t>SMT-FIL-U</t>
  </si>
  <si>
    <t>4056-2-1180</t>
  </si>
  <si>
    <t>12 Months Premium 24x7 Upgrade for GigaSMART HB license Adaptive Packet Filtering feature.</t>
  </si>
  <si>
    <t>SMT-HB0-APF-U</t>
  </si>
  <si>
    <t>4056-2-1181</t>
  </si>
  <si>
    <t>12 Months Premium 24x7 Upgrade for GigaSMART HB license FlowVUE feature.</t>
  </si>
  <si>
    <t>SMT-HB0-FVU-U</t>
  </si>
  <si>
    <t>4056-2-1182</t>
  </si>
  <si>
    <t>12 Months Premium 24x7 Upgrade for GigaSMART HB license GTP Filtering &amp; Correlation feature 250K subscribers.</t>
  </si>
  <si>
    <t>SMT-HB0-GTP250-U</t>
  </si>
  <si>
    <t>4056-2-1183</t>
  </si>
  <si>
    <t>12 Months Premium 24x7 Upgrade for GigaSMART HB license NetFlow Generation feature.</t>
  </si>
  <si>
    <t>SMT-HB0-NF1-U</t>
  </si>
  <si>
    <t>4056-2-1184</t>
  </si>
  <si>
    <t>12 Months Premium 24x7 Upgrade for GigaSMART HB license SSL Decryption feature.</t>
  </si>
  <si>
    <t>SMT-HB0-SSL-U</t>
  </si>
  <si>
    <t>4056-2-1185</t>
  </si>
  <si>
    <t>12 Months Premium 24x7 Upgrade for GigaSMART HB license combo includes Slicing Masking &amp; Source Port features.</t>
  </si>
  <si>
    <t>SMT-HB1-BSE-U</t>
  </si>
  <si>
    <t>4056-2-1186</t>
  </si>
  <si>
    <t>12 Months Premium 24x7 Upgrade for GigaSMART HB license De-Duplication feature.</t>
  </si>
  <si>
    <t>SMT-HB1-DD1-U</t>
  </si>
  <si>
    <t>4056-2-1187</t>
  </si>
  <si>
    <t>12 Months Premium 24x7 Upgrade for GigaSMART HB license Header Stripping feature.</t>
  </si>
  <si>
    <t>SMT-HB1-HS1-U</t>
  </si>
  <si>
    <t>4056-2-1188</t>
  </si>
  <si>
    <t>12 Months Premium 24x7 Upgrade for GigaSMART HB license Tunneling feature (includes ERSPAN De-Encapsulation).</t>
  </si>
  <si>
    <t>SMT-HB1-TUN-U</t>
  </si>
  <si>
    <t>4056-2-1189</t>
  </si>
  <si>
    <t>12 Months Premium 24x7 Upgrade for GigaSMART HC Series Adaptive Packet Filtering feature license per GigaSMART module.</t>
  </si>
  <si>
    <t>SMT-HC0-APF-U</t>
  </si>
  <si>
    <t>4056-2-1190</t>
  </si>
  <si>
    <t>12 Months Premium 24x7 Upgrade for GigaSMART HC Series Advanced Tunneling feature license per GigaSMART module.</t>
  </si>
  <si>
    <t>SMT-HC0-AT1-U</t>
  </si>
  <si>
    <t>4056-2-1191</t>
  </si>
  <si>
    <t>12 Months Premium 24x7 Upgrade for GigaSMART HC Series De-Duplication feature license per GigaSMART module.</t>
  </si>
  <si>
    <t>SMT-HC0-DD1-U</t>
  </si>
  <si>
    <t>4056-2-1192</t>
  </si>
  <si>
    <t>12 Months Premium 24x7 Upgrade for GigaSMART HC Series FlowVUE feature license per GigaSMART module.</t>
  </si>
  <si>
    <t>SMT-HC0-FVU-U</t>
  </si>
  <si>
    <t>4056-2-1193</t>
  </si>
  <si>
    <t>12 Months Premium 24x7 Upgrade for GigaSMART HC Series GTP Filtering &amp; Correlation feature license per GigaSMART module 250K subscribers.</t>
  </si>
  <si>
    <t>SMT-HC0-GTP250-U</t>
  </si>
  <si>
    <t>4056-2-1194</t>
  </si>
  <si>
    <t>12 Months Premium 24x7 Upgrade for GigaSMART HC Series GTP Filtering &amp; Correlation feature license per GigaSMART module 500K subscribers.</t>
  </si>
  <si>
    <t>SMT-HC0-GTP500-U</t>
  </si>
  <si>
    <t>4056-2-1195</t>
  </si>
  <si>
    <t>12 Months Premium 24x7 Upgrade for GigaSMART HC Series GTP Filtering &amp; Correlation feature license per GigaSMART module Maximum subscribers.</t>
  </si>
  <si>
    <t>SMT-HC0-GTPMAX-U</t>
  </si>
  <si>
    <t>4056-2-1196</t>
  </si>
  <si>
    <t>12 Months Premium 24x7 Upgrade for GigaSMART HC Series Header Stripping feature license per GigaSMART module.</t>
  </si>
  <si>
    <t>SMT-HC0-HS1-U</t>
  </si>
  <si>
    <t>4056-2-1197</t>
  </si>
  <si>
    <t>12 Months Premium 24x7 Upgrade for GigaSMART HC Series NetFlow Generation feature license per GigaSMART module.</t>
  </si>
  <si>
    <t>SMT-HC0-NF1-U</t>
  </si>
  <si>
    <t>4056-2-1198</t>
  </si>
  <si>
    <t>12 Months Premium 24x7 Upgrade for GigaSMART HC Series rear module (includes Slicing Masking Source Port &amp; GigaVUE Tunneling De-Encapsulation SW).</t>
  </si>
  <si>
    <t>SMT-HC0-R-U</t>
  </si>
  <si>
    <t>4056-2-1199</t>
  </si>
  <si>
    <t>12 Months Premium 24x7 Upgrade for GigaSMART HC Series SSL Decryption feature license per GigaSMART module.</t>
  </si>
  <si>
    <t>SMT-HC0-SSL-U</t>
  </si>
  <si>
    <t>4056-2-1200</t>
  </si>
  <si>
    <t>12 Months Premium 24x7 Upgrade for GigaSMART HC Series Front Module 16 10G cages (includes Slicing Masking Source Port &amp; GigaVUE Tunneling De-Encapsulation SW).</t>
  </si>
  <si>
    <t>SMT-HC0-X16-U</t>
  </si>
  <si>
    <t>4056-2-1201</t>
  </si>
  <si>
    <t>12 Months Premium 24x7 Upgrade for GigaSMART HD Series Adaptive Packet Filtering feature license per GigaSMART blade.</t>
  </si>
  <si>
    <t>SMT-HD0-APF-U</t>
  </si>
  <si>
    <t>4056-2-1202</t>
  </si>
  <si>
    <t>12 Months Premium 24x7 Upgrade for GigaSMART HD Series Advanced Tunneling feature license per GigaSMART blade.</t>
  </si>
  <si>
    <t>SMT-HD0-AT1-U</t>
  </si>
  <si>
    <t>4056-2-1203</t>
  </si>
  <si>
    <t>12 Months Premium 24x7 Upgrade for GigaSMART HD Series De-Duplication feature license per GigaSMART blade.</t>
  </si>
  <si>
    <t>SMT-HD0-DD1-U</t>
  </si>
  <si>
    <t>4056-2-1204</t>
  </si>
  <si>
    <t>12 Months Premium 24x7 Upgrade for GigaSMART HD Series FlowVUE feature license per GigaSMART blade.</t>
  </si>
  <si>
    <t>SMT-HD0-FVU-U</t>
  </si>
  <si>
    <t>4056-2-1205</t>
  </si>
  <si>
    <t>12 Months Premium 24x7 Upgrade for GigaSMART HD Series GTP Filtering &amp; Correlation feature license per GigaSMART blade 250K subscribers.</t>
  </si>
  <si>
    <t>SMT-HD0-GTP250-U</t>
  </si>
  <si>
    <t>4056-2-1206</t>
  </si>
  <si>
    <t>12 Months Premium 24x7 Upgrade for GigaSMART HD Series GTP Filtering &amp; Correlation feature license per GigaSMART blade 500K subscribers.</t>
  </si>
  <si>
    <t>SMT-HD0-GTP500-U</t>
  </si>
  <si>
    <t>4056-2-1207</t>
  </si>
  <si>
    <t>12 Months Premium 24x7 Upgrade for GigaSMART HD Series GTP Filtering &amp; Correlation feature license per GigaSMART blade Maximum subscribers.</t>
  </si>
  <si>
    <t>SMT-HD0-GTPMAX-U</t>
  </si>
  <si>
    <t>4056-2-1208</t>
  </si>
  <si>
    <t>12 Months Premium 24x7 Upgrade for GigaSMART HD Series Header Stripping feature license per GigaSMART blade.</t>
  </si>
  <si>
    <t>SMT-HD0-HS1-U</t>
  </si>
  <si>
    <t>4056-2-1209</t>
  </si>
  <si>
    <t>12 Months Premium 24x7 Upgrade for GigaSMART HD Series NetFlow Generation feature license per GigaSMART blade.</t>
  </si>
  <si>
    <t>SMT-HD0-NF1-U</t>
  </si>
  <si>
    <t>4056-2-1210</t>
  </si>
  <si>
    <t>12 Months Premium 24x7 Upgrade for GigaSMART HD Series SSL Decryption feature license per GigaSMART blade.</t>
  </si>
  <si>
    <t>SMT-HD0-SSL-U</t>
  </si>
  <si>
    <t>4056-2-1211</t>
  </si>
  <si>
    <t>12 Months Premium 24x7 Upgrade for GigaSMART HD Series blade (includes Slicing Masking Source Port &amp; GigaVUE Tunneling De-Encapsulation SW).</t>
  </si>
  <si>
    <t>SMT-HD0-U</t>
  </si>
  <si>
    <t>4056-2-1212</t>
  </si>
  <si>
    <t>12 Months Premium 24x7 Upgrade for GigaSMART-Header Stripping feature module license per GigaSMART blade.</t>
  </si>
  <si>
    <t>SMT-HST-U</t>
  </si>
  <si>
    <t>4056-2-1213</t>
  </si>
  <si>
    <t>12 Months Premium 24x7 Upgrade for GigaSMART-Load Balancing Group feature module license per GigaSMART blade.</t>
  </si>
  <si>
    <t>SMT-LBG-U</t>
  </si>
  <si>
    <t>4056-2-1214</t>
  </si>
  <si>
    <t>12 Months Premium 24x7 Upgrade for GigaSMART-Masking feature module license per GigaSMART blade (EOS).</t>
  </si>
  <si>
    <t>SMT-MSK-U</t>
  </si>
  <si>
    <t>4056-2-1215</t>
  </si>
  <si>
    <t>12 Months Premium 24x7 Upgrade for GigaSMART-Slice feature module license per GigaSMART blade (EOS).</t>
  </si>
  <si>
    <t>SMT-SLC-U</t>
  </si>
  <si>
    <t>4056-2-1216</t>
  </si>
  <si>
    <t>12 Months Premium 24x7 Upgrade for GigaSMART-Source Port feature module license per GigaSMART blade (EOS).</t>
  </si>
  <si>
    <t>SMT-SRC-U</t>
  </si>
  <si>
    <t>4056-2-1217</t>
  </si>
  <si>
    <t>12 Months Premium 24x7 Upgrade for GigaSMART-Time stamp feature module license per GigaSMART blade.</t>
  </si>
  <si>
    <t>SMT-TSP-U</t>
  </si>
  <si>
    <t>4056-2-1218</t>
  </si>
  <si>
    <t>12 Months Premium 24x7 Upgrade for GigaSMART-Tunneling feature module license per GigaSMART blade.</t>
  </si>
  <si>
    <t>SMT-TUN-U</t>
  </si>
  <si>
    <t>4056-2-1219</t>
  </si>
  <si>
    <t>12 Months Premium 24x7 Upgrade for Spare fan tray for 212 chassis or G-SECURE chassis</t>
  </si>
  <si>
    <t>SVC-1FN-U</t>
  </si>
  <si>
    <t>4056-2-1220</t>
  </si>
  <si>
    <t>12 Months Premium 24x7 Upgrade for 110/240 V AC power supply module HB1 420 212 or G-SECURE chassis (EOS)</t>
  </si>
  <si>
    <t>SVC-2AC-U</t>
  </si>
  <si>
    <t>4056-2-1221</t>
  </si>
  <si>
    <t>12 Months Premium 24x7 Upgrade for -48 V DC power supply module HB1 420 212 or G-SECURE chassis (EOS)</t>
  </si>
  <si>
    <t>SVC-2DC-U</t>
  </si>
  <si>
    <t>4056-2-1222</t>
  </si>
  <si>
    <t>12 Months Premium 24x7 Upgrade for Filter module 2404 chassis NEBS certified</t>
  </si>
  <si>
    <t>SVC-3FLN-U</t>
  </si>
  <si>
    <t>4056-2-1223</t>
  </si>
  <si>
    <t>12 Months Premium 24x7 Upgrade for Fan module 2404 chassis NEBS certified</t>
  </si>
  <si>
    <t>SVC-3FNN-U</t>
  </si>
  <si>
    <t>4056-2-1224</t>
  </si>
  <si>
    <t>12 Months Premium 24x7 Upgrade for Fan module 2404 chassis</t>
  </si>
  <si>
    <t>SVC-3FN-U</t>
  </si>
  <si>
    <t>4056-2-1225</t>
  </si>
  <si>
    <t>12 Months Premium 24x7 Upgrade for Spare 420 chassis with 4 RJ45; without power supplies and fans (EOS)</t>
  </si>
  <si>
    <t>SVC-421-U</t>
  </si>
  <si>
    <t>4056-2-1226</t>
  </si>
  <si>
    <t>12 Months Premium 24x7 Upgrade for Spare 420 chassis with 4 SFP cages; without power supplies and fans (EOS)</t>
  </si>
  <si>
    <t>SVC-422-U</t>
  </si>
  <si>
    <t>4056-2-1227</t>
  </si>
  <si>
    <t>12 Months Premium 24x7 Upgrade for Spare 2404 chassis with SFP cages; without power supplies and fans NEBS certified</t>
  </si>
  <si>
    <t>SVC-432N-U</t>
  </si>
  <si>
    <t>4056-2-1228</t>
  </si>
  <si>
    <t>12 Months Premium 24x7 Upgrade for Spare 2404 slot 1 blade with SFP cages NEBS certified</t>
  </si>
  <si>
    <t>SVC-434N-U</t>
  </si>
  <si>
    <t>4056-2-1229</t>
  </si>
  <si>
    <t>12 Months Premium 24x7 Upgrade for Spare 2404 slot 1 blade with SFP cages</t>
  </si>
  <si>
    <t>SVC-434-U</t>
  </si>
  <si>
    <t>4056-2-1230</t>
  </si>
  <si>
    <t>12 Months Premium 24x7 Upgrade for Fan module 420 chassis</t>
  </si>
  <si>
    <t>SVC-FAN-U</t>
  </si>
  <si>
    <t>4056-2-1231</t>
  </si>
  <si>
    <t>12 Months Premium 24x7 Upgrade for Spare 420 management module with 4 RJ45</t>
  </si>
  <si>
    <t>SVC-X21-U</t>
  </si>
  <si>
    <t>4056-2-1232</t>
  </si>
  <si>
    <t>12 Months Premium 24x7 Upgrade for Spare 420 management module with 4 SFP cages</t>
  </si>
  <si>
    <t>SVC-X22-U</t>
  </si>
  <si>
    <t>4056-2-1233</t>
  </si>
  <si>
    <t>12 Months Premium 24x7 Upgrade for GigaTAP-TX-D copper tap module 2 taps per module</t>
  </si>
  <si>
    <t>TAP-101-U</t>
  </si>
  <si>
    <t>4056-2-1234</t>
  </si>
  <si>
    <t>12 Months Premium 24x7 Upgrade for GigaTAP-BPC-D In-Line One-to-Many Bypass Tap Copper 1Gig (Special Order)</t>
  </si>
  <si>
    <t>TAP-141-U</t>
  </si>
  <si>
    <t>4056-2-1235</t>
  </si>
  <si>
    <t>12 Months Premium 24x7 Upgrade for 1/2 U chassis supports 123or 4 Dual Optical G-TAP Modules stand alone chassis 1/10G</t>
  </si>
  <si>
    <t>TAP-200-U</t>
  </si>
  <si>
    <t>4056-2-1236</t>
  </si>
  <si>
    <t>12 Months Premium 24x7 Upgrade for GigaTAP-TX copper tap module 2 taps per module 420 chassis</t>
  </si>
  <si>
    <t>TAP-201-U</t>
  </si>
  <si>
    <t>4056-2-1237</t>
  </si>
  <si>
    <t>12 Months Premium 24x7 Upgrade for GigaTAP-SX 850nm Multimode tap module 2 taps per module 420 Chassis</t>
  </si>
  <si>
    <t>TAP-202-U</t>
  </si>
  <si>
    <t>4056-2-1238</t>
  </si>
  <si>
    <t>12 Months Premium 24x7 Upgrade for GigaTAP-LX 1310nm Singlemode tap module 2 taps per module 420 Chassis (Special Order)</t>
  </si>
  <si>
    <t>TAP-203-U</t>
  </si>
  <si>
    <t>4056-2-1239</t>
  </si>
  <si>
    <t>12 Months Premium 24x7 Upgrade for GigaTAP-ZX 1550nm Singlemode tap module 2 taps per module 420 Chassis (Special Order)</t>
  </si>
  <si>
    <t>TAP-204-U</t>
  </si>
  <si>
    <t>4056-2-1240</t>
  </si>
  <si>
    <t>12 Months Premium 24x7 Upgrade for 10GigaTAP-SR optical Multimode 850nm 10Gig tap module 420 chassis (EOS)</t>
  </si>
  <si>
    <t>TAP-212-U</t>
  </si>
  <si>
    <t>4056-2-1241</t>
  </si>
  <si>
    <t>12 Months Premium 24x7 Upgrade for 10GigaTAP-LR optical Singlemode 1310nm 10Gig tap module 420 chassis (EOS)</t>
  </si>
  <si>
    <t>TAP-213-U</t>
  </si>
  <si>
    <t>4056-2-1242</t>
  </si>
  <si>
    <t>12 Months Premium 24x7 Upgrade for 10GigaTAP-ER optical Singlemode 1550nm 10Gig tap module 420 chassis (EOS)</t>
  </si>
  <si>
    <t>TAP-214-U</t>
  </si>
  <si>
    <t>4056-2-1243</t>
  </si>
  <si>
    <t>12 Months Premium 24x7 Upgrade for 1GigaTAP-4SX for GigaVUE-2404 850nm Multimode tap blade with 4 taps NEBS certified</t>
  </si>
  <si>
    <t>TAP-222N-U</t>
  </si>
  <si>
    <t>4056-2-1244</t>
  </si>
  <si>
    <t>12 Months Premium 24x7 Upgrade for 1GigaTAP-4SX for GigaVUE-2404 850nm Multimode tap blade with 4 taps</t>
  </si>
  <si>
    <t>TAP-222-U</t>
  </si>
  <si>
    <t>4056-2-1245</t>
  </si>
  <si>
    <t>12 Months Premium 24x7 Upgrade for 1GigaTAP-4LX for GigaVUE-2404 1310nm Singlemode tap blade with 4 taps NEBS certified (Special Order)</t>
  </si>
  <si>
    <t>TAP-223N-U</t>
  </si>
  <si>
    <t>4056-2-1246</t>
  </si>
  <si>
    <t>12 Months Premium 24x7 Upgrade for 1GigaTAP-4LX for GigaVUE-2404 1310nm Singlemode tap blade with 4 taps (Special Order)</t>
  </si>
  <si>
    <t>TAP-223-U</t>
  </si>
  <si>
    <t>4056-2-1247</t>
  </si>
  <si>
    <t>12 Months Premium 24x7 Upgrade for 1GigaTAP-4ZX for GigaVUE-2404 1550nm Singlemode tap blade with 4 taps NEBS certified (Special Order)</t>
  </si>
  <si>
    <t>TAP-224N-U</t>
  </si>
  <si>
    <t>4056-2-1248</t>
  </si>
  <si>
    <t>12 Months Premium 24x7 Upgrade for 1GigaTAP-4ZX for GigaVUE-2404 1550nm Singlemode tap blade with 4 taps (Special Order)</t>
  </si>
  <si>
    <t>TAP-224-U</t>
  </si>
  <si>
    <t>4056-2-1249</t>
  </si>
  <si>
    <t>12 Months Premium 24x7 Upgrade for 10GigaTAP-4SR for GigaVUE-2404 850nm Multimode tap blade with 4 taps NEBS certified</t>
  </si>
  <si>
    <t>TAP-232N-U</t>
  </si>
  <si>
    <t>4056-2-1250</t>
  </si>
  <si>
    <t>12 Months Premium 24x7 Upgrade for 10GigaTAP-4SR for GigaVUE-2404 850nm Multimode tap blade with 4 taps</t>
  </si>
  <si>
    <t>TAP-232-U</t>
  </si>
  <si>
    <t>4056-2-1251</t>
  </si>
  <si>
    <t>12 Months Premium 24x7 Upgrade for 10GigaTAP-4LR for GigaVUE-2404 1310nm Singlemode tap blade with 4 taps NEBS certified</t>
  </si>
  <si>
    <t>TAP-233N-U</t>
  </si>
  <si>
    <t>4056-2-1252</t>
  </si>
  <si>
    <t>12 Months Premium 24x7 Upgrade for 10GigaTAP-4LR for GigaVUE-2404 1310nm Singlemode tap blade with 4 taps</t>
  </si>
  <si>
    <t>TAP-233-U</t>
  </si>
  <si>
    <t>4056-2-1253</t>
  </si>
  <si>
    <t>12 Months Premium 24x7 Upgrade for 10GigaTAP-4ER for GigaVUE-2404 1550nm Singlemode tap blade with 4 taps NEBS certified (Special Order)</t>
  </si>
  <si>
    <t>TAP-234N-U</t>
  </si>
  <si>
    <t>4056-2-1254</t>
  </si>
  <si>
    <t>12 Months Premium 24x7 Upgrade for 10GigaTAP-4ER for GigaVUE-2404 1550nm Singlemode tap blade with 4 taps (Special Order)</t>
  </si>
  <si>
    <t>TAP-234-U</t>
  </si>
  <si>
    <t>4056-2-1255</t>
  </si>
  <si>
    <t>12 Months Premium 24x7 Upgrade for 10GigaTAP-4LRM for GigaVUE-2404 1310nm Multimode tap blade with 4 taps NEBS certified (Special Order)</t>
  </si>
  <si>
    <t>TAP-235N-U</t>
  </si>
  <si>
    <t>4056-2-1256</t>
  </si>
  <si>
    <t>12 Months Premium 24x7 Upgrade for 10GigaTAP-4LRM for GigaVUE-2404 1310nm Multimode tap blade with 4 taps (Special Order)</t>
  </si>
  <si>
    <t>TAP-235-U</t>
  </si>
  <si>
    <t>4056-2-1257</t>
  </si>
  <si>
    <t>12 Months Premium 24x7 Upgrade for GigaTAP-BPC In-Line Bypass Tap Copper 1Gig</t>
  </si>
  <si>
    <t>TAP-241-U</t>
  </si>
  <si>
    <t>4056-2-1258</t>
  </si>
  <si>
    <t>12 Months Premium 24x7 Upgrade for Dual optical GigaTAP module 50/50 Multimode 850nm 50/125 micron fiber requires TAP-200 chassis 1/10G</t>
  </si>
  <si>
    <t>TAP-251-U</t>
  </si>
  <si>
    <t>4056-2-1259</t>
  </si>
  <si>
    <t>12 Months Premium 24x7 Upgrade for Dual optical GigaTAP module 50/50 Multimode 850nm 62.5/125 micron fiber requires TAP-200 chassis 1/10G</t>
  </si>
  <si>
    <t>TAP-252-U</t>
  </si>
  <si>
    <t>4056-2-1260</t>
  </si>
  <si>
    <t>12 Months Premium 24x7 Upgrade for Dual optical GigaTAP module 50/50 Singlemode 1310/1550nm requires TAP-200 chassis 1/10G</t>
  </si>
  <si>
    <t>TAP-253-U</t>
  </si>
  <si>
    <t>4056-2-1261</t>
  </si>
  <si>
    <t>12 Months Premium 24x7 Upgrade for Dual optical GigaTAP module 50/50 Multimode 1310nm LRM requires TAP-200 chassis 10G (Special Order)</t>
  </si>
  <si>
    <t>TAP-255-U</t>
  </si>
  <si>
    <t>4056-2-1262</t>
  </si>
  <si>
    <t>12 Months Premium 24x7 Upgrade for Dual optical GigaTAP module 60/40 Multimode 850nm 50/125 micron fiber requires TAP-200 chassis 1/10G (Special Order)</t>
  </si>
  <si>
    <t>TAP-261-U</t>
  </si>
  <si>
    <t>4056-2-1263</t>
  </si>
  <si>
    <t>12 Months Premium 24x7 Upgrade for Dual optical GigaTAP module 60/40 Multimode 850nm 62.5/125 micron fiber requires TAP-200 chassis 1/10G (Special Order)</t>
  </si>
  <si>
    <t>TAP-262-U</t>
  </si>
  <si>
    <t>4056-2-1264</t>
  </si>
  <si>
    <t>12 Months Premium 24x7 Upgrade for Dual optical GigaTAP module 60/40 Singlemode 1310/1550nm requires TAP-200 chassis 10G (Special Order)</t>
  </si>
  <si>
    <t>TAP-263-U</t>
  </si>
  <si>
    <t>4056-2-1265</t>
  </si>
  <si>
    <t>12 Months Premium 24x7 Upgrade for Dual optical GigaTAP module 70/30 Multimode 850nm 50/125 micron fiber requires TAP-200 chassis 1G(nrf 10G)</t>
  </si>
  <si>
    <t>TAP-271-U</t>
  </si>
  <si>
    <t>4056-2-1266</t>
  </si>
  <si>
    <t>12 Months Premium 24x7 Upgrade for Dual optical GigaTAP module 70/30 Multimode 850nm 62.5/125 micron fiber requires TAP-200 chassis1G (nrf 10G)</t>
  </si>
  <si>
    <t>TAP-272-U</t>
  </si>
  <si>
    <t>4056-2-1267</t>
  </si>
  <si>
    <t>12 Months Premium 24x7 Upgrade for Dual optical GigaTAP module 70/30 Singlemode 1310/1550nm requires TAP-200 chassis 1/10G (Special Order)</t>
  </si>
  <si>
    <t>TAP-273-U</t>
  </si>
  <si>
    <t>4056-2-1268</t>
  </si>
  <si>
    <t>12 Months Premium 24x7 Upgrade for Dual optical GigaTAP module 70/30 Multimode 1310nm LRM requires TAP-200 chassis10G (Special Order)</t>
  </si>
  <si>
    <t>TAP-275-U</t>
  </si>
  <si>
    <t>4056-2-1269</t>
  </si>
  <si>
    <t>12 Months Premium 24x7 Upgrade for Dual optical HighFlow GigaTAP module 50/50 Singlemode 1310/1550nm requires TAP-200 chassis 10/40/100G (Special Order)</t>
  </si>
  <si>
    <t>TAP-453-U</t>
  </si>
  <si>
    <t>4056-2-1270</t>
  </si>
  <si>
    <t>12 Months Premium 24x7 Upgrade for 3 RU BiDi TAP extended stand alone chassis supports up to 13 BiDi modules</t>
  </si>
  <si>
    <t>TAP-500E-U</t>
  </si>
  <si>
    <t>4056-2-1271</t>
  </si>
  <si>
    <t>12 Months Premium 24x7 Upgrade for 1 RU BiDi TAP stand alone chassis supports up to 3 BiDi modules</t>
  </si>
  <si>
    <t>TAP-500-U</t>
  </si>
  <si>
    <t>4056-2-1272</t>
  </si>
  <si>
    <t>12 Months Premium 24x7 Upgrade for Optical G-TAP BiDi module 50/50 SR requires TAP-500 or TAP-500E chassis</t>
  </si>
  <si>
    <t>TAP-506-U</t>
  </si>
  <si>
    <t>4056-2-1273</t>
  </si>
  <si>
    <t>12 Months Premium 24x7 Upgrade for 10GigaTap-SR optical Multimode 850nm 10Gig TAP module 420 Chassis</t>
  </si>
  <si>
    <t>TAP-GV4-X25B10-U</t>
  </si>
  <si>
    <t>4056-2-1274</t>
  </si>
  <si>
    <t>12 Months Premium 24x7 Upgrade for 10GigaTap-LR optical Singlemode 1310nm 10Gig TAP module 420 Chassis (Special Order)</t>
  </si>
  <si>
    <t>TAP-GV4-X35C10-U</t>
  </si>
  <si>
    <t>4056-2-1275</t>
  </si>
  <si>
    <t>12 Months Premium 24x7 Upgrade for 10GigaTap-ER optical Singlemode 1550nm 10Gig TAP module 420 Chassis  (Special Order)</t>
  </si>
  <si>
    <t>TAP-GV4-X45D10-U</t>
  </si>
  <si>
    <t>4056-2-1276</t>
  </si>
  <si>
    <t>12 Months Premium 24x7 Upgrade for TAP module HC Series SX/SR Internal TAP Module 50/125 12 TAPs</t>
  </si>
  <si>
    <t>TAP-HC0-D25AC0-U</t>
  </si>
  <si>
    <t>4056-2-1277</t>
  </si>
  <si>
    <t>12 Months Premium 24x7 Upgrade for TAP module HC Series SX/SR Internal TAP Module 62.5/125 12 TAPs</t>
  </si>
  <si>
    <t>TAP-HC0-D25BC0-U</t>
  </si>
  <si>
    <t>4056-2-1278</t>
  </si>
  <si>
    <t>12 Months Premium 24x7 Upgrade for TAP module HC Series LX/LR Internal TAP Module 12 TAPs</t>
  </si>
  <si>
    <t>TAP-HC0-D35CC0-U</t>
  </si>
  <si>
    <t>4056-2-1279</t>
  </si>
  <si>
    <t>12 Months Premium 24x7 Upgrade for TAP module HC Series Copper 12 TAPs</t>
  </si>
  <si>
    <t>TAP-HC0-G100C0-U</t>
  </si>
  <si>
    <t>4056-2-1280</t>
  </si>
  <si>
    <t>12 Months Premium 24x7 Upgrade for One day H Series Installation and QA Confirmation (EOS)</t>
  </si>
  <si>
    <t>TRN-INST-U</t>
  </si>
  <si>
    <t>4056-2-1281</t>
  </si>
  <si>
    <t>12 Months Premium 24x7 Upgrade for Upgrade option to enable all GigaVUE-TA1 ports (48 10G + 4 40G).</t>
  </si>
  <si>
    <t>UPG-TA100-U</t>
  </si>
  <si>
    <t>4056-2-1282</t>
  </si>
  <si>
    <t>12 Months Premium 24x7 Upgrade for XFP 850 nm Multimode FDX transceiver LC connector (EOS).</t>
  </si>
  <si>
    <t>XFP-502-U</t>
  </si>
  <si>
    <t>4056-2-1283</t>
  </si>
  <si>
    <t>12 Months Premium 24x7 Upgrade for XFP 1310 nm Singlemode FDX transceiver LC connector (EOS).</t>
  </si>
  <si>
    <t>XFP-503-U</t>
  </si>
  <si>
    <t>4056-2-1284</t>
  </si>
  <si>
    <t>12 Months Premium 24x7 Upgrade for XFP 1550 nm Singlemode FDX transceiver LC connector (EOS)</t>
  </si>
  <si>
    <t>XFP-504-U</t>
  </si>
  <si>
    <t>4056-2-1285</t>
  </si>
  <si>
    <t>12 Months Premium 24x7 Upgrade for XFP 1550 nm Singlemode FDX transceiver 80 km LC connector (EOS)</t>
  </si>
  <si>
    <t>XFP-505-U</t>
  </si>
  <si>
    <t>4056-2-1286</t>
  </si>
  <si>
    <t>12 Months Standard Support and Software Maintenance for GFM-FM000 1 year.</t>
  </si>
  <si>
    <t>SVC-000-GFM-FM000</t>
  </si>
  <si>
    <t>4056-2-1287</t>
  </si>
  <si>
    <t>12 Months Standard Support and Software Maintenance for GFM-VM010 1 year.</t>
  </si>
  <si>
    <t>SVC-000-GFM-VM010</t>
  </si>
  <si>
    <t>4056-2-1288</t>
  </si>
  <si>
    <t>12 Months Standard Support and Software Maintenance for GVS-HD8A1 1 year.</t>
  </si>
  <si>
    <t>SVC-000-GVS-HD8A1</t>
  </si>
  <si>
    <t>4056-2-1289</t>
  </si>
  <si>
    <t>12 Months Standard Support and Software Maintenance for PRT-H00-Q02X32 1 year.</t>
  </si>
  <si>
    <t>SVC-000-PRT-H00-Q02X32</t>
  </si>
  <si>
    <t>4056-2-1290</t>
  </si>
  <si>
    <t>12 Months Standard Support and Software Maintenance for SMT-HD0 1 year.</t>
  </si>
  <si>
    <t>SVC-000-SMT-HD0</t>
  </si>
  <si>
    <t>4056-2-1291</t>
  </si>
  <si>
    <t>12 Months Standard Support and Software Maintenance for SMT-HD0-DD1 1 year.</t>
  </si>
  <si>
    <t>SVC-000-SMT-HD0-DD1</t>
  </si>
  <si>
    <t>GFM-VM1000-2-2a</t>
  </si>
  <si>
    <t>GigaVUE-VM 1000 Pack Bundle SW License Extension (EOS June 30, 2022)</t>
  </si>
  <si>
    <t>GFM-VM1000</t>
  </si>
  <si>
    <t>GSS-CS4-MWS-PSS-2-2a</t>
  </si>
  <si>
    <t>Remote after hours’ maintenance window assistance for customers with purchased Standard Support contracts.  Four hour increments.  *used within 6 months of services kick off date.</t>
  </si>
  <si>
    <t>GSS-CS4-MWS-PSS</t>
  </si>
  <si>
    <t>GSP-CS4-MWS-PLS-1</t>
  </si>
  <si>
    <t>Remote after hours’ maintenance window assistance for PLUS GSP Partners with purchased Standard Support contracts.  Four hour increments.</t>
  </si>
  <si>
    <t>GSP-CS4-MWS-PLS</t>
  </si>
  <si>
    <t>4056-2-1305</t>
  </si>
  <si>
    <t>Remote after hours’ maintenance window assistance for PREMIER GSP Partners with purchased Standard Support contracts.  Four hour increments.</t>
  </si>
  <si>
    <t>GSP-CS4-MWS-PRM</t>
  </si>
  <si>
    <t>GSP-CS4-MWS-PRO-2-2a</t>
  </si>
  <si>
    <t>Remote after hours’ maintenance window assistance for PROFESSIONAL GSP Partners with purchased Standard Support contracts.  Four hour increments. *used within 6 months of services kick off date.</t>
  </si>
  <si>
    <t>GSP-CS4-MWS-PRO</t>
  </si>
  <si>
    <t>4056-2-1307</t>
  </si>
  <si>
    <t>GigaSMART, HB license, Application Session Filtering feature; requires SMT-HB0-APF (EOS Jun 30, 2018) . Perpetual</t>
  </si>
  <si>
    <t>SMT-HB0-ASF</t>
  </si>
  <si>
    <t>SMT-HC0-ASF</t>
  </si>
  <si>
    <t>GigaSMART, GigaVUE-HC2, Application Session Filtering feature license per GigaSMART module; requires SMT-HC0-APF. (EOS May 31, 2021). Perpetual</t>
  </si>
  <si>
    <t>4056-2-1003</t>
  </si>
  <si>
    <t>12 Months Premium 24x7 Support and Software Maintenance for Optical G-TAP BiDi module 50/50 SR requires TAP-500 or TAP-500E chassis</t>
  </si>
  <si>
    <t>TAP-506-PM</t>
  </si>
  <si>
    <t>4056-2-1004</t>
  </si>
  <si>
    <t>12 Months Standard Support and Software Maintenance for Optical G-TAP BiDi module 50/50 SR requires TAP-500 or TAP-500E chassis</t>
  </si>
  <si>
    <t>TAP-506-SM</t>
  </si>
  <si>
    <t>4056-2-1006</t>
  </si>
  <si>
    <t>Multi-Year Allowance for Advanced Support and Software Maintenance for 10GigaTap-SR optical Multimode 850nm 10Gig TAP module 420 Chassis</t>
  </si>
  <si>
    <t>TAP-GV4-X25B10-AS</t>
  </si>
  <si>
    <t>4056-2-1007</t>
  </si>
  <si>
    <t>12 Months Premium 24x7 Support and Software Maintenance for 10GigaTap-SR optical Multimode 850nm 10Gig TAP module 420 Chassis</t>
  </si>
  <si>
    <t>TAP-GV4-X25B10-PM</t>
  </si>
  <si>
    <t>4056-2-1008</t>
  </si>
  <si>
    <t>12 Months Standard Support and Software Maintenance for 10GigaTap-SR optical Multimode 850nm 10Gig TAP module 420 Chassis</t>
  </si>
  <si>
    <t>TAP-GV4-X25B10-SM</t>
  </si>
  <si>
    <t>4056-2-1010</t>
  </si>
  <si>
    <t>Multi-Year Allowance for Advanced Support and Software Maintenance for 10GigaTap-LR optical Singlemode 1310nm 10Gig TAP module 420 Chassis (Special Order)</t>
  </si>
  <si>
    <t>TAP-GV4-X35C10-AS</t>
  </si>
  <si>
    <t>4056-2-1011</t>
  </si>
  <si>
    <t>12 Months Premium 24x7 Support and Software Maintenance for 10GigaTap-LR optical Singlemode 1310nm 10Gig TAP module 420 Chassis (Special Order)</t>
  </si>
  <si>
    <t>TAP-GV4-X35C10-PM</t>
  </si>
  <si>
    <t>4056-2-1012</t>
  </si>
  <si>
    <t>12 Months Standard Support and Software Maintenance for 10GigaTap-LR optical Singlemode 1310nm 10Gig TAP module 420 Chassis (Special Order)</t>
  </si>
  <si>
    <t>TAP-GV4-X35C10-SM</t>
  </si>
  <si>
    <t>4056-2-1322</t>
  </si>
  <si>
    <t>Multi-Year Allowance for Advanced Support and Software Maintenance for 10GigaTap-ER optical Singlemode 1550nm 10Gig TAP module 420 Chassis  (Special Order)</t>
  </si>
  <si>
    <t>TAP-GV4-X45D10-AS</t>
  </si>
  <si>
    <t>4056-2-1323</t>
  </si>
  <si>
    <t>12 Months Premium 24x7 Support and Software Maintenance for 10GigaTap-ER optical Singlemode 1550nm 10Gig TAP module 420 Chassis  (Special Order)</t>
  </si>
  <si>
    <t>TAP-GV4-X45D10-PM</t>
  </si>
  <si>
    <t>4056-2-1324</t>
  </si>
  <si>
    <t>12 Months Standard Support and Software Maintenance for 10GigaTap-ER optical Singlemode 1550nm 10Gig TAP module 420 Chassis  (Special Order)</t>
  </si>
  <si>
    <t>TAP-GV4-X45D10-SM</t>
  </si>
  <si>
    <t>4056-2-1326</t>
  </si>
  <si>
    <t>Multi-Year Allowance for Advanced Support and Software Maintenance for TAP module HC Series SX/SR Internal TAP Module 50/125 12 TAPs</t>
  </si>
  <si>
    <t>TAP-HC0-D25AC0-AS</t>
  </si>
  <si>
    <t>4056-2-1356</t>
  </si>
  <si>
    <t>Multi-Year Allowance for Advanced Support and Software Maintenance for GigaVUE-HC2 base unit w/ chassis, Control Card Version 2, 1 Fan Tray, CLI, 2 Power Supplies, AC power</t>
  </si>
  <si>
    <t>GVS-HC2A1-AS-1</t>
  </si>
  <si>
    <t>4056-2-1357</t>
  </si>
  <si>
    <t>12 Months Premium 24x7 Support and Software Maintenance for GigaVUE-HC2 base unit w/ chassis, Control Card Version 2, 1 Fan Tray, CLI, 2 Power Supplies, AC power</t>
  </si>
  <si>
    <t>GVS-HC2A1-PM-1</t>
  </si>
  <si>
    <t>4056-2-1358</t>
  </si>
  <si>
    <t>12 Months Standard Support and Software Maintenance for GigaVUE-HC2 base unit w/ chassis, Control Card Version 2, 1 Fan Tray, CLI, 2 Power Supplies, AC power</t>
  </si>
  <si>
    <t>GVS-HC2A1-SM-1</t>
  </si>
  <si>
    <t>4056-2-1359</t>
  </si>
  <si>
    <t>12 Months Premium 24x7 Upgrade for GigaVUE-HC2 base unit w/ chassis, Control Card Version 2, 1 Fan Tray, CLI, 2 Power Supplies, AC power</t>
  </si>
  <si>
    <t>GVS-HC2A1-U-1</t>
  </si>
  <si>
    <t>4056-2-1360</t>
  </si>
  <si>
    <t>Multi-Year Allowance for Advanced Support and Software Maintenance for GigaVUE-FM Add-On for Vmware NSC Manager Integration. Perpetual</t>
  </si>
  <si>
    <t>GFM-VM-NSX-AS-1</t>
  </si>
  <si>
    <t>4056-2-1361</t>
  </si>
  <si>
    <t>12 Months Premium 24x7 Support and Software Maintenance for GigaVUE-FM Add-On for Vmware NSC Manager Integration.</t>
  </si>
  <si>
    <t>GFM-VM-NSX-PM-1</t>
  </si>
  <si>
    <t>4056-2-1362</t>
  </si>
  <si>
    <t>12 Months Standard Support and Software Maintenance for GigaVUE-FM Add-On for Vmware NSC Manager Integration.</t>
  </si>
  <si>
    <t>GFM-VM-NSX-SM-1</t>
  </si>
  <si>
    <t>4056-2-1363</t>
  </si>
  <si>
    <t>12 Months Premium 24x7 Upgrade for GigaVUE-FM Add-On for Vmware NSC Manager Integration.</t>
  </si>
  <si>
    <t>GFM-VM-NSX-U-1</t>
  </si>
  <si>
    <t>4056-2-1368</t>
  </si>
  <si>
    <t>Multi-Year Allowance for Advanced Support and Software Maintenance for GigaVUE-TA10 edge node, 24 10G ports enabled, 2 power supplies, 2 Fan trays, AC power</t>
  </si>
  <si>
    <t>GVS-TAX01A-AS-1</t>
  </si>
  <si>
    <t>4056-2-1369</t>
  </si>
  <si>
    <t>12 Months Premium 24x7 Support and Software Maintenance for GigaVUE-TA10 edge node, 24 10G ports enabled, 2 power supplies, 2 Fan trays, AC power</t>
  </si>
  <si>
    <t>GVS-TAX01A-PM-1</t>
  </si>
  <si>
    <t>4056-2-1370</t>
  </si>
  <si>
    <t>12 Months Standard Support and Software Maintenance for GigaVUE-TA10 edge node, 24 10G ports enabled, 2 power supplies, 2 Fan trays, AC power</t>
  </si>
  <si>
    <t>GVS-TAX01A-SM-1</t>
  </si>
  <si>
    <t>4056-2-1371</t>
  </si>
  <si>
    <t>12 Months Premium 24x7 Upgrade for GigaVUE-TA10 edge node, 24 10G ports enabled, 2 power supplies, 2 Fan trays, AC power</t>
  </si>
  <si>
    <t>GVS-TAX01A-U-1</t>
  </si>
  <si>
    <t>4056-2-1372</t>
  </si>
  <si>
    <t>Multi-Year Allowance for Advanced Support and Software Maintenance for GigaVUE-TA10 edge node, 24 10G ports enabled, 2 power supplies, 2 Fan trays, DC power</t>
  </si>
  <si>
    <t>GVS-TAX02A-AS-1</t>
  </si>
  <si>
    <t>4056-2-1373</t>
  </si>
  <si>
    <t>12 Months Premium 24x7 Support and Software Maintenance for GigaVUE-TA10 edge node, 24 10G ports enabled, 2 power supplies, 2 Fan trays, DC power</t>
  </si>
  <si>
    <t>GVS-TAX02A-PM-1</t>
  </si>
  <si>
    <t>4056-2-1374</t>
  </si>
  <si>
    <t>12 Months Standard Support and Software Maintenance for GigaVUE-TA10 edge node, 24 10G ports enabled, 2 power supplies, 2 Fan trays, DC power</t>
  </si>
  <si>
    <t>GVS-TAX02A-SM-1</t>
  </si>
  <si>
    <t>4056-2-1375</t>
  </si>
  <si>
    <t>12 Months Premium 24x7 Upgrade for GigaVUE-TA10 edge node, 24 10G ports enabled, 2 power supplies, 2 Fan trays, DC power</t>
  </si>
  <si>
    <t>GVS-TAX02A-U-1</t>
  </si>
  <si>
    <t>4056-2-1376</t>
  </si>
  <si>
    <t>12 Months Premium 24x7 Advanced Support for GigaVUE-TA100 edge node, 32 100G cages, 2 power supplies, 3 fan trays, AC power; 16 ports enabled</t>
  </si>
  <si>
    <t>GVS-TAC01-AS-1</t>
  </si>
  <si>
    <t>4056-2-1377</t>
  </si>
  <si>
    <t>12 Months Premium 24x7 Support and Software Maintenance for GigaVUE-TA100 edge node, 32 100G cages, 2 power supplies, 3 fan trays, AC power; 16 ports enabled</t>
  </si>
  <si>
    <t>GVS-TAC01-PM-1</t>
  </si>
  <si>
    <t>4056-2-1378</t>
  </si>
  <si>
    <t>12 Months Standard Support and Software Maintenance for GigaVUE-TA100 edge node, 32 100G cages, 2 power supplies, 3 fan trays, AC power; 16 ports enabled</t>
  </si>
  <si>
    <t>GVS-TAC01-SM-1</t>
  </si>
  <si>
    <t>4056-2-1379</t>
  </si>
  <si>
    <t>12 Months Premium 24x7 Upgrade for GigaVUE-TA100 edge node, 32 100G cages, 2 power supplies, 3 fan trays, AC power; 16 ports enabled</t>
  </si>
  <si>
    <t>GVS-TAC01-U-1</t>
  </si>
  <si>
    <t>4056-2-1380</t>
  </si>
  <si>
    <t>Multi-Year Allowance for Advanced Support and Software Maintenance for GigaVUE-TA100 edge node, 32 100G cages, 2 power supplies, 3 fan trays, DC power; 16 ports enabled</t>
  </si>
  <si>
    <t>GVS-TAC02-AS-1</t>
  </si>
  <si>
    <t>4056-2-1381</t>
  </si>
  <si>
    <t>12 Months Premium 24x7 Support and Software Maintenance for GigaVUE-TA100 edge node, 32 100G cages, 2 power supplies, 3 fan trays, DC power; 16 ports enabled</t>
  </si>
  <si>
    <t>GVS-TAC02-PM-1</t>
  </si>
  <si>
    <t>4056-2-1382</t>
  </si>
  <si>
    <t>12 Months Standard Support and Software Maintenance for GigaVUE-TA100 edge node, 32 100G cages, 2 power supplies, 3 fan trays, DC power; 16 ports enabled</t>
  </si>
  <si>
    <t>GVS-TAC02-SM-1</t>
  </si>
  <si>
    <t>4056-2-1383</t>
  </si>
  <si>
    <t>12 Months Premium 24x7 Upgrade for GigaVUE-TA100 edge node, 32 100G cages, 2 power supplies, 3 fan trays, DC power; 16 ports enabled</t>
  </si>
  <si>
    <t>GVS-TAC02-U-1</t>
  </si>
  <si>
    <t>4056-2-1384</t>
  </si>
  <si>
    <t>Multi-Year Allowance for Advanced Support and Software Maintenance for Upgrade option for GVS-TAX01A/TAX02A to enable all GigaVUE-TA10 ports (48 10G + 4 40G). Perpetual</t>
  </si>
  <si>
    <t>UPG-TAX00-AS-1</t>
  </si>
  <si>
    <t>4056-2-1385</t>
  </si>
  <si>
    <t>12 Months Premium 24x7 Support and Software Maintenance for Upgrade option for GVS-TAX01A/TAX02A to enable all GigaVUE-TA10 ports (48 10G + 4 40G).</t>
  </si>
  <si>
    <t>UPG-TAX00-PM-1</t>
  </si>
  <si>
    <t>4056-2-1386</t>
  </si>
  <si>
    <t>12 Months Standard Support and Software Maintenance for Upgrade option for GVS-TAX01A/TAX02A to enable all GigaVUE-TA10 ports (48 10G + 4 40G).</t>
  </si>
  <si>
    <t>UPG-TAX00-SM-1</t>
  </si>
  <si>
    <t>4056-2-1387</t>
  </si>
  <si>
    <t>12 Months Premium 24x7 Upgrade for Upgrade option for GVS-TAX01A/TAX02A to enable all GigaVUE-TA10 ports (48 10G + 4 40G).</t>
  </si>
  <si>
    <t>UPG-TAX00-U-1</t>
  </si>
  <si>
    <t>4056-2-1388</t>
  </si>
  <si>
    <t>Multi-Year Allowance for Advanced Support and Software Maintenance for Upgrade option to enable 24 GigaVUE-TA100 ports (24 100G). Perpetual</t>
  </si>
  <si>
    <t>UPG-TAC24-AS-1</t>
  </si>
  <si>
    <t>4056-2-1389</t>
  </si>
  <si>
    <t>12 Months Premium 24x7 Support and Software Maintenance for Upgrade option to enable 24 GigaVUE-TA100 ports (24 100G).</t>
  </si>
  <si>
    <t>UPG-TAC24-PM-1</t>
  </si>
  <si>
    <t>4056-2-1390</t>
  </si>
  <si>
    <t>12 Months Standard Support and Software Maintenance for Upgrade option to enable 24 GigaVUE-TA100 ports (24 100G).</t>
  </si>
  <si>
    <t>UPG-TAC24-SM-1</t>
  </si>
  <si>
    <t>4056-2-1391</t>
  </si>
  <si>
    <t>12 Months Premium 24x7 Upgrade for Upgrade option to enable 24 GigaVUE-TA100 ports (24 100G).</t>
  </si>
  <si>
    <t>UPG-TAC24-U-1</t>
  </si>
  <si>
    <t>4056-2-1392</t>
  </si>
  <si>
    <t>Multi-Year Allowance for Advanced Support and Software Maintenance for Upgrade option to enable 24 GigaVUE-TA100 ports (32 100G). Perpetual</t>
  </si>
  <si>
    <t>UPG-TAC32-AS-1</t>
  </si>
  <si>
    <t>4056-2-1393</t>
  </si>
  <si>
    <t>12 Months Premium 24x7 Support and Software Maintenance for Upgrade option to enable 32 GigaVUE-TA100 ports (32 100G); requires UPG-TAC24.</t>
  </si>
  <si>
    <t>UPG-TAC32-PM-1</t>
  </si>
  <si>
    <t>4056-2-1394</t>
  </si>
  <si>
    <t>12 Months Standard Support and Software Maintenance for Upgrade option to enable 32 GigaVUE-TA100 ports (32 100G); requires UPG-TAC24.</t>
  </si>
  <si>
    <t>UPG-TAC32-SM-1</t>
  </si>
  <si>
    <t>4056-2-1395</t>
  </si>
  <si>
    <t>12 Months Premium 24x7 Upgrade for Upgrade option to enable 32 GigaVUE-TA100 ports (32 100G); requires UPG-TAC24.</t>
  </si>
  <si>
    <t>UPG-TAC32-U-1</t>
  </si>
  <si>
    <t>4056-2-1437</t>
  </si>
  <si>
    <t>Multi-Year Allowance for Advanced Support and Software Maintenance for Clustering, GigaVUE-TA100, Feature license per node, 40G only</t>
  </si>
  <si>
    <t>CLS-TAC00-AS</t>
  </si>
  <si>
    <t>4056-2-1438</t>
  </si>
  <si>
    <t>12 Months Premium 24x7 Support and Software Maintenance for Clustering, GigaVUE-TA100, Feature license per node, 40G only.</t>
  </si>
  <si>
    <t>CLS-TAC00-PM</t>
  </si>
  <si>
    <t>4056-2-1439</t>
  </si>
  <si>
    <t>12 Months Standard Support and Software Maintenance for Clustering, GigaVUE-TA100, Feature license per node, 40G only.</t>
  </si>
  <si>
    <t>CLS-TAC00-SM</t>
  </si>
  <si>
    <t>4056-2-1440</t>
  </si>
  <si>
    <t>12 Months Premium 24x7 Upgrade for Clustering, GigaVUE-TA100, Feature license per node, 40G only.</t>
  </si>
  <si>
    <t>CLS-TAC00-U</t>
  </si>
  <si>
    <t>4056-2-1441</t>
  </si>
  <si>
    <t>Multi-Year Allowance for Advanced Support and Software Maintenance for Clustering, GigaVUE-TA40, Feature license per node</t>
  </si>
  <si>
    <t>CLS-TAQ00-AS</t>
  </si>
  <si>
    <t>4056-2-1442</t>
  </si>
  <si>
    <t>12 Months Premium 24x7 Support and Software Maintenance for Clustering, GigaVUE-TA40, Feature license per node.</t>
  </si>
  <si>
    <t>CLS-TAQ00-PM</t>
  </si>
  <si>
    <t>4056-2-1443</t>
  </si>
  <si>
    <t>12 Months Standard Support and Software Maintenance for Clustering, GigaVUE-TA40, Feature license per node.</t>
  </si>
  <si>
    <t>CLS-TAQ00-SM</t>
  </si>
  <si>
    <t>4056-2-1444</t>
  </si>
  <si>
    <t>12 Months Premium 24x7 Upgrade for Clustering, GigaVUE-TA40, Feature license per node.</t>
  </si>
  <si>
    <t>CLS-TAQ00-U</t>
  </si>
  <si>
    <t>4056-2-1445</t>
  </si>
  <si>
    <t>12 Months Premium 24x7 Upgrade for GigaVUE-OS SW license for certified 10G-based white box edge hardware, perpetual license.</t>
  </si>
  <si>
    <t>GSW-WBX00-PM</t>
  </si>
  <si>
    <t>4056-2-1446</t>
  </si>
  <si>
    <t>Multi-Year Allowance for Advanced Support and Software Maintenance for GigaVUE-FM Hardware Appliance, manages up to 10 Physical Visibility Fabric Nodes</t>
  </si>
  <si>
    <t>GFM-HW0-FM010-AS</t>
  </si>
  <si>
    <t>4056-2-1447</t>
  </si>
  <si>
    <t>12 Months Premium 24x7 Support and Software Maintenance for GigaVUE-FM Hardware Appliance, manages up to 10 Physical Visibility Fabric Nodes</t>
  </si>
  <si>
    <t>GFM-HW0-FM010-PM</t>
  </si>
  <si>
    <t>4056-2-1448</t>
  </si>
  <si>
    <t>12 Months Standard Support and Software Maintenance for GigaVUE-FM Hardware Appliance, manages up to 10 Physical Visibility Fabric Nodes</t>
  </si>
  <si>
    <t>GFM-HW0-FM010-SM</t>
  </si>
  <si>
    <t>4056-2-1449</t>
  </si>
  <si>
    <t>12 Months Premium 24x7 Upgrade for GigaVUE-FM Hardware Appliance, manages up to 10 Physical Visibility Fabric Nodes</t>
  </si>
  <si>
    <t>GFM-HW0-FM010-U</t>
  </si>
  <si>
    <t>4056-2-1450</t>
  </si>
  <si>
    <t>Multi-Year Allowance for Advanced Support and Software Maintenance for GigaVUE-FM, manage up to 5 Physical Visibility Fabric Nodes</t>
  </si>
  <si>
    <t>GFM-FM005-AS</t>
  </si>
  <si>
    <t>4056-2-1451</t>
  </si>
  <si>
    <t>12 Months Premium 24x7 Support and Software Maintenance for GigaVUE-FM, manage up to 5 Physical Visibility Fabric Nodes.</t>
  </si>
  <si>
    <t>GFM-FM005-PM</t>
  </si>
  <si>
    <t>4056-2-1452</t>
  </si>
  <si>
    <t>12 Months Standard Support and Software Maintenance for GigaVUE-FM, manage up to 5 Physical Visibility Fabric Nodes.</t>
  </si>
  <si>
    <t>GFM-FM005-SM</t>
  </si>
  <si>
    <t>4056-2-1453</t>
  </si>
  <si>
    <t>12 Months Premium 24x7 Upgrade for GigaVUE-FM, manage up to 5 Physical Visibility Fabric Nodes.</t>
  </si>
  <si>
    <t>GFM-FM005-U</t>
  </si>
  <si>
    <t>4056-2-1454</t>
  </si>
  <si>
    <t>Multi-Year Allowance for Advanced Support and Software Maintenance for GigaVUE-FM, manage up to 10 Physical Visibility Fabric Nodes</t>
  </si>
  <si>
    <t>GFM-FM010-AS</t>
  </si>
  <si>
    <t>4056-2-1455</t>
  </si>
  <si>
    <t>12 Months Premium 24x7 Support and Software Maintenance for GigaVUE-FM, manage up to 10 Physical Visibility Fabric Nodes.</t>
  </si>
  <si>
    <t>GFM-FM010-PM</t>
  </si>
  <si>
    <t>4056-2-1456</t>
  </si>
  <si>
    <t>12 Months Standard Support and Software Maintenance for GigaVUE-FM, manage up to 10 Physical Visibility Fabric Nodes.</t>
  </si>
  <si>
    <t>GFM-FM010-SM</t>
  </si>
  <si>
    <t>4056-2-1457</t>
  </si>
  <si>
    <t>12 Months Premium 24x7 Upgrade for GigaVUE-FM, manage up to 10 Physical Visibility Fabric Nodes.</t>
  </si>
  <si>
    <t>GFM-FM010-U</t>
  </si>
  <si>
    <t>4056-2-1458</t>
  </si>
  <si>
    <t>Multi-Year Allowance for Advanced Support and Software Maintenance for GigaVUE-VM 1000 Pack Bundle SW License Extension</t>
  </si>
  <si>
    <t>GFM-VM1000-AS</t>
  </si>
  <si>
    <t>4056-2-1459</t>
  </si>
  <si>
    <t>12 Months Premium 24x7 Support and Software Maintenance for GigaVUE-VM 1000 Pack Bundle SW License Extension.</t>
  </si>
  <si>
    <t>GFM-VM1000-PM</t>
  </si>
  <si>
    <t>4056-2-1460</t>
  </si>
  <si>
    <t>12 Months Standard Support and Software Maintenance for GigaVUE-VM 1000 Pack Bundle SW License Extension.</t>
  </si>
  <si>
    <t>GFM-VM1000-SM</t>
  </si>
  <si>
    <t>4056-2-1461</t>
  </si>
  <si>
    <t>12 Months Premium 24x7 Upgrade for GigaVUE-VM 1000 Pack Bundle SW License Extension.</t>
  </si>
  <si>
    <t>GFM-VM1000-U</t>
  </si>
  <si>
    <t>4056-2-1462</t>
  </si>
  <si>
    <t>Multi-Year Allowance for Advanced Support and Software Maintenance for Virtual Monitoring in OpenStack deployments for up to 100 virtual tap points.</t>
  </si>
  <si>
    <t>GFM-VTAP-100-AS</t>
  </si>
  <si>
    <t>4056-2-1463</t>
  </si>
  <si>
    <t>12 Months Premium 24x7 Support and Software Maintenance for Virtual Monitoring in OpenStack deployments for up to 100 virtual tap points.</t>
  </si>
  <si>
    <t>GFM-VTAP-100-PM</t>
  </si>
  <si>
    <t>4056-2-1464</t>
  </si>
  <si>
    <t>12 Months Standard Support and Software Maintenance for Virtual Monitoring in OpenStack deployments for up to 100 virtual tap points.</t>
  </si>
  <si>
    <t>GFM-VTAP-100-SM</t>
  </si>
  <si>
    <t>4056-2-1465</t>
  </si>
  <si>
    <t>12 Months Premium 24x7 Upgrade for Virtual Monitoring in OpenStack deployments for up to 100 virtual tap points.</t>
  </si>
  <si>
    <t>GFM-VTAP-100-U</t>
  </si>
  <si>
    <t>4056-2-1466</t>
  </si>
  <si>
    <t>Multi-Year Allowance for Advanced Support and Software Maintenance for Virtual Monitoring in OpenStack deployments for up to 250 virtual tap points.</t>
  </si>
  <si>
    <t>GFM-VTAP-250-AS</t>
  </si>
  <si>
    <t>4056-2-1467</t>
  </si>
  <si>
    <t>12 Months Premium 24x7 Support and Software Maintenance for Virtual Monitoring in OpenStack deployments for up to 250 virtual tap points.</t>
  </si>
  <si>
    <t>GFM-VTAP-250-PM</t>
  </si>
  <si>
    <t>4056-2-1468</t>
  </si>
  <si>
    <t>12 Months Standard Support and Software Maintenance for Virtual Monitoring in OpenStack deployments for up to 250 virtual tap points.</t>
  </si>
  <si>
    <t>GFM-VTAP-250-SM</t>
  </si>
  <si>
    <t>4056-2-1469</t>
  </si>
  <si>
    <t>12 Months Premium 24x7 Upgrade for Virtual Monitoring in OpenStack deployments for up to 250 virtual tap points.</t>
  </si>
  <si>
    <t>GFM-VTAP-250-U</t>
  </si>
  <si>
    <t>4056-2-1470</t>
  </si>
  <si>
    <t>Multi-Year Allowance for Advanced Support and Software Maintenance for Virtual Monitoring in OpenStack deployments for up to 1000 virtual tap points.</t>
  </si>
  <si>
    <t>GFM-VTAP-1000-AS</t>
  </si>
  <si>
    <t>4056-2-1471</t>
  </si>
  <si>
    <t>12 Months Premium 24x7 Support and Software Maintenance for Virtual Monitoring in OpenStack deployments for up to 1000 virtual tap points.</t>
  </si>
  <si>
    <t>GFM-VTAP-1000-PM</t>
  </si>
  <si>
    <t>4056-2-1472</t>
  </si>
  <si>
    <t>12 Months Standard Support and Software Maintenance for Virtual Monitoring in OpenStack deployments for up to 1000 virtual tap points.</t>
  </si>
  <si>
    <t>GFM-VTAP-1000-SM</t>
  </si>
  <si>
    <t>4056-2-1473</t>
  </si>
  <si>
    <t>12 Months Premium 24x7 Upgrade for Virtual Monitoring in OpenStack deployments for up to 1000 virtual tap points.</t>
  </si>
  <si>
    <t>GFM-VTAP-1000-U</t>
  </si>
  <si>
    <t>4056-2-1474</t>
  </si>
  <si>
    <t>Multi-Year Allowance for Advanced Support and Software Maintenance for GigaVUE-FM FabricVUE Traffic Analyzer, optional add-on for GFM-FM005 and GFM-FM010 licenses</t>
  </si>
  <si>
    <t>GFM-FM-FTA-AS</t>
  </si>
  <si>
    <t>4056-2-1475</t>
  </si>
  <si>
    <t>12 Months Premium 24x7 Support and Software Maintenance for GigaVUE-FM FabricVUE Traffic Analyzer, optional add-on for GFM-FM005 and GFM-FM010 licenses.</t>
  </si>
  <si>
    <t>GFM-FM-FTA-PM</t>
  </si>
  <si>
    <t>4056-2-1476</t>
  </si>
  <si>
    <t>12 Months Standard Support and Software Maintenance for GigaVUE-FM FabricVUE Traffic Analyzer, optional add-on for GFM-FM005 and GFM-FM010 licenses.</t>
  </si>
  <si>
    <t>GFM-FM-FTA-SM</t>
  </si>
  <si>
    <t>4056-2-1477</t>
  </si>
  <si>
    <t>12 Months Premium 24x7 Upgrade for GigaVUE-FM FabricVUE Traffic Analyzer, optional add-on for GFM-FM005 and GFM-FM010 licenses.</t>
  </si>
  <si>
    <t>GFM-FM-FTA-U</t>
  </si>
  <si>
    <t>4056-2-1762</t>
  </si>
  <si>
    <t>GigaVUE-TA100 edge node, 20 100G CXP cages, 8 QSFP28 cages, 2 power supplies, 3 fan trays, AC power, all ports enabled; Multi-Year for advanced support</t>
  </si>
  <si>
    <t>GVS-TACX1-AS</t>
  </si>
  <si>
    <t>4056-2-1763</t>
  </si>
  <si>
    <t>GigaVUE-TA100 edge node, 20 100G CXP cages, 8 QSFP28 cages, 2 power supplies, 3 fan trays, DC power, all ports enabled; Multi-Year for advanced support</t>
  </si>
  <si>
    <t>GVS-TACX2-AS</t>
  </si>
  <si>
    <t>4056-2-1764</t>
  </si>
  <si>
    <t>Bypass Combo Module, GigaVUE-HC1, 2 SX/SR 50/125 BPS pairs, 4 10G cages; Multi-Year for advanced support</t>
  </si>
  <si>
    <t>BPS-HC1-D25A24-AS</t>
  </si>
  <si>
    <t>4056-2-1765</t>
  </si>
  <si>
    <t>GigaSMART, GigaVUE-HC1 license, FlowVUE feature license; Multi-Year for advanced support</t>
  </si>
  <si>
    <t>SMT-HC1-FVU-AS</t>
  </si>
  <si>
    <t>4056-2-1766</t>
  </si>
  <si>
    <t>GigaSMART, GigaVUE-HC1 license, Adaptive Packet Filtering feature; Multi-Year for advanced support</t>
  </si>
  <si>
    <t>SMT-HC1-APF-AS</t>
  </si>
  <si>
    <t>4056-2-1767</t>
  </si>
  <si>
    <t>GigaSMART, GigaVUE-HC1 license, Application Session Filtering feature license; requires SMT-HC1-APF; Multi-Year for advanced support</t>
  </si>
  <si>
    <t>SMT-HC1-ASF-AS</t>
  </si>
  <si>
    <t>4056-2-1768</t>
  </si>
  <si>
    <t>GigaSMART, GigaVUE-HC1, SSL Decryption for Out of Band Tools Feature License; Multi-Year for advanced support</t>
  </si>
  <si>
    <t>SMT-HC1-SSL-AS</t>
  </si>
  <si>
    <t>4056-2-1769</t>
  </si>
  <si>
    <t>Bypass Combo Module, GigaVUE-HC2, 2 40G SR4 BPS pairs, 8 10G cages; Multi-Year for advanced support</t>
  </si>
  <si>
    <t>BPS-HC0-Q25A28-AS</t>
  </si>
  <si>
    <t>4056-2-1770</t>
  </si>
  <si>
    <t>GigaSMART, GigaVUE-HC2, SSL Decryption for Inline and Out of Band Tools Feature License per GigaSMART module; Multi-Year for advanced support</t>
  </si>
  <si>
    <t>SMT-HC0-INSSL -AS</t>
  </si>
  <si>
    <t>4056-2-1771</t>
  </si>
  <si>
    <t>GigaSMART, GigaVUE-HC2, SSL Decryption Upgrade for Inline Tools Feature License per GigaSMART module; Multi-Year for advanced support</t>
  </si>
  <si>
    <t>SMT-HC0-UPGINSSL -AS</t>
  </si>
  <si>
    <t>4056-2-1772</t>
  </si>
  <si>
    <t>GigaVUE-HC3 base unit w/ chassis, Control Card, 5 Fan Modules, CLI,  2 power supplies, AC power ; Multi-Year for advanced support</t>
  </si>
  <si>
    <t>GVS-HC301-AS</t>
  </si>
  <si>
    <t>4056-2-1773</t>
  </si>
  <si>
    <t>GigaVUE-HC3 base unit w/ chassis, Control Card, 5 Fan Modules, CLI,  2 power supplies, DC power ; Multi-Year for advanced support</t>
  </si>
  <si>
    <t>GVS-HC302-AS</t>
  </si>
  <si>
    <t>4056-2-1774</t>
  </si>
  <si>
    <t>Port Module, GigaVUE-HC3, 8x100G QSFP28 cages and 8x40G QSFP+ cages; Multi-Year for advanced support</t>
  </si>
  <si>
    <t>PRT-HC3-C08Q08-AS</t>
  </si>
  <si>
    <t>4056-2-1775</t>
  </si>
  <si>
    <t>Port Module, GigaVUE-HC3, 24x10G; Multi-Year for advanced support</t>
  </si>
  <si>
    <t>PRT-HC3-X24-AS</t>
  </si>
  <si>
    <t>4056-2-1776</t>
  </si>
  <si>
    <t>GigaSMART, GigaVUE-HC3, 5x100G QSFP28 cages (includes Slicing, Masking, Source Port &amp; GigaVUE Tunneling De-Encapsulation SW); Multi-Year for advanced support</t>
  </si>
  <si>
    <t>SMT-HC3-C05-AS</t>
  </si>
  <si>
    <t>4056-2-1777</t>
  </si>
  <si>
    <t>GigaSMART, GigaVUE-HC3, De-Duplication feature license per GigaSMART module                     ; Multi-Year for advanced support</t>
  </si>
  <si>
    <t>SMT-HC3-DD1-AS</t>
  </si>
  <si>
    <t>4056-2-1778</t>
  </si>
  <si>
    <t>GigaSMART, GigaVUE-HC3, Header Stripping feature license per GigaSMART module; Multi-Year for advanced support</t>
  </si>
  <si>
    <t>SMT-HC3-HS1-AS</t>
  </si>
  <si>
    <t>4056-2-1779</t>
  </si>
  <si>
    <t>GigaSMART, GigaVUE-HC3, Advanced Tunneling feature license per GigaSMART module; Multi-Year for advanced support</t>
  </si>
  <si>
    <t>SMT-HC3-AT1-AS</t>
  </si>
  <si>
    <t>4056-2-1780</t>
  </si>
  <si>
    <t>GigaSMART, GigaVUE-HC3, FlowVUE feature license per GigaSMART module; Multi-Year for advanced support</t>
  </si>
  <si>
    <t>SMT-HC3-FVU-AS</t>
  </si>
  <si>
    <t>4056-2-1781</t>
  </si>
  <si>
    <t>GigaSMART, GigaVUE-HC3, Adaptive Packet Filtering feature license per GigaSMART module; Multi-Year for advanced support</t>
  </si>
  <si>
    <t>SMT-HC3-APF-AS</t>
  </si>
  <si>
    <t>4056-2-1782</t>
  </si>
  <si>
    <t>SMT-HC3-ASF-AS</t>
  </si>
  <si>
    <t>4056-2-1783</t>
  </si>
  <si>
    <t>GigaSMART, GigaVUE-HC3, NetFlow Generation feature license per GigaSMART module; Multi-Year for advanced support</t>
  </si>
  <si>
    <t>SMT-HC3-NF1-AS</t>
  </si>
  <si>
    <t>4056-2-1784</t>
  </si>
  <si>
    <t>GigaSMART, GigaVUE-HC3, SSL Decryption for Out of Band Tools Feature License per GigaSMART module; Multi-Year for advanced support</t>
  </si>
  <si>
    <t>SMT-HC3-SSL-AS</t>
  </si>
  <si>
    <t>4056-2-1785</t>
  </si>
  <si>
    <t>GigaSMART, GigaVUE-HC3, GTP Filtering &amp; Correlation feature license per GigaSMART module, Maximum subscribers; Multi-Year for advanced support</t>
  </si>
  <si>
    <t>SMT-HC3-GTPMAX-AS</t>
  </si>
  <si>
    <t>4056-2-1786</t>
  </si>
  <si>
    <t>GigaVUE-TA100 edge node, 20 100G CXP cages, 8 QSFP28 cages, 2 power supplies, 3 fan trays, AC power, all ports enabled; Standard Maintenance</t>
  </si>
  <si>
    <t>GVS-TACX1-SM</t>
  </si>
  <si>
    <t>4056-2-1787</t>
  </si>
  <si>
    <t>GigaVUE-TA100 edge node, 20 100G CXP cages, 8 QSFP28 cages, 2 power supplies, 3 fan trays, DC power, all ports enabled; Standard Maintenance</t>
  </si>
  <si>
    <t>GVS-TACX2-SM</t>
  </si>
  <si>
    <t>4056-2-1788</t>
  </si>
  <si>
    <t>Bypass Combo Module, GigaVUE-HC1, 2 SX/SR 50/125 BPS pairs, 4 10G cages; Standard Maintenance</t>
  </si>
  <si>
    <t>BPS-HC1-D25A24-SM</t>
  </si>
  <si>
    <t>4056-2-1789</t>
  </si>
  <si>
    <t>GigaSMART, GigaVUE-HC1 license, FlowVUE feature license; Standard Maintenance. Perpetual</t>
  </si>
  <si>
    <t>SMT-HC1-FVU-SM</t>
  </si>
  <si>
    <t>4056-2-1790</t>
  </si>
  <si>
    <t>GigaSMART, GigaVUE-HC1 license, Adaptive Packet Filtering feature; Standard Maintenance. Perpetual</t>
  </si>
  <si>
    <t>SMT-HC1-APF-SM</t>
  </si>
  <si>
    <t>4056-2-1791</t>
  </si>
  <si>
    <t>GigaSMART, GigaVUE-HC1 license, Application Session Filtering feature license; requires SMT-HC1-APF; Standard Maintenance. Perpetual</t>
  </si>
  <si>
    <t>SMT-HC1-ASF-SM</t>
  </si>
  <si>
    <t>4056-2-1792</t>
  </si>
  <si>
    <t>GigaSMART, GigaVUE-HC1, SSL Decryption for Out of Band Tools Feature License; Standard Maintenance. Perpetual</t>
  </si>
  <si>
    <t>SMT-HC1-SSL-SM</t>
  </si>
  <si>
    <t>4056-2-1793</t>
  </si>
  <si>
    <t>Bypass Combo Module, GigaVUE-HC2, 2 40G SR4 BPS pairs, 8 10G cages; Standard Maintenance</t>
  </si>
  <si>
    <t>BPS-HC0-Q25A28-SM</t>
  </si>
  <si>
    <t>4056-2-1794</t>
  </si>
  <si>
    <t>GigaSMART, GigaVUE-HC2, SSL Decryption for Inline and Out of Band Tools Feature License per GigaSMART module; Standard Maintenance</t>
  </si>
  <si>
    <t>SMT-HC0-INSSL -SM</t>
  </si>
  <si>
    <t>4056-2-1795</t>
  </si>
  <si>
    <t>GigaSMART, GigaVUE-HC2, SSL Decryption Upgrade for Inline Tools Feature License per GigaSMART module; Standard Maintenance</t>
  </si>
  <si>
    <t>SMT-HC0-UPGINSSL -SM</t>
  </si>
  <si>
    <t>4056-2-1796</t>
  </si>
  <si>
    <t>GigaVUE-HC3 base unit w/ chassis, Control Card, 5 Fan Modules, CLI, 2 power supplies, AC power ; Standard Maintenance</t>
  </si>
  <si>
    <t>GVS-HC301-SM</t>
  </si>
  <si>
    <t>4056-2-1797</t>
  </si>
  <si>
    <t>GigaVUE-HC3 base unit w/ chassis, Control Card, 5 Fan Modules, CLI, 2 power supplies, DC power ; Standard Maintenance</t>
  </si>
  <si>
    <t>GVS-HC302-SM</t>
  </si>
  <si>
    <t>4056-2-1798</t>
  </si>
  <si>
    <t>Port Module, GigaVUE-HC3, 8x100G QSFP28 cages and 8x40G QSFP+ cages; Standard Maintenance</t>
  </si>
  <si>
    <t>PRT-HC3-C08Q08-SM</t>
  </si>
  <si>
    <t>4056-2-1799</t>
  </si>
  <si>
    <t>Port Module, GigaVUE-HC3, 24x10G; Standard Maintenance</t>
  </si>
  <si>
    <t>PRT-HC3-X24-SM</t>
  </si>
  <si>
    <t>4056-2-1800</t>
  </si>
  <si>
    <t>GigaSMART, GigaVUE-HC3, 5x100G QSFP28 cages (includes Slicing, Masking, Source Port &amp; GigaVUE Tunneling De-Encapsulation SW); Standard Maintenance. Perpetual</t>
  </si>
  <si>
    <t>SMT-HC3-C05-SM</t>
  </si>
  <si>
    <t>4056-2-1801</t>
  </si>
  <si>
    <t>GigaSMART, GigaVUE-HC3, De-Duplication feature license per GigaSMART module ; Standard Maintenance. Perpetual</t>
  </si>
  <si>
    <t>SMT-HC3-DD1-SM</t>
  </si>
  <si>
    <t>4056-2-1802</t>
  </si>
  <si>
    <t>GigaSMART, GigaVUE-HC3, Header Stripping feature license per GigaSMART module; Standard Maintenance. Perpetual</t>
  </si>
  <si>
    <t>SMT-HC3-HS1-SM</t>
  </si>
  <si>
    <t>4056-2-1803</t>
  </si>
  <si>
    <t>GigaSMART, GigaVUE-HC3, Advanced Tunneling feature license per GigaSMART module; Standard Maintenance. Perpetual</t>
  </si>
  <si>
    <t>SMT-HC3-AT1-SM</t>
  </si>
  <si>
    <t>4056-2-1804</t>
  </si>
  <si>
    <t>GigaSMART, GigaVUE-HC3, FlowVUE feature license per GigaSMART module; Standard Maintenance. Perpetual</t>
  </si>
  <si>
    <t>SMT-HC3-FVU-SM</t>
  </si>
  <si>
    <t>4056-2-1805</t>
  </si>
  <si>
    <t>GigaSMART, GigaVUE-HC3, Adaptive Packet Filtering feature license per GigaSMART module; Standard Maintenance. Perpetual</t>
  </si>
  <si>
    <t>SMT-HC3-APF-SM</t>
  </si>
  <si>
    <t>4056-2-1806</t>
  </si>
  <si>
    <t>GigaSMART, GigaVUE-HC3, Application Session Filtering feature license per GigaSMART module; Standard Maintenance. Perpetual</t>
  </si>
  <si>
    <t>SMT-HC3-ASF-SM</t>
  </si>
  <si>
    <t>4056-2-1807</t>
  </si>
  <si>
    <t>GigaSMART, GigaVUE-HC3, NetFlow Generation feature license per GigaSMART module; Standard Maintenance. Perpetual</t>
  </si>
  <si>
    <t>SMT-HC3-NF1-SM</t>
  </si>
  <si>
    <t>4056-2-1808</t>
  </si>
  <si>
    <t>GigaSMART, GigaVUE-HC3, SSL Decryption for Out of Band Tools Feature License per GigaSMART module; Standard Maintenance. Perpetual</t>
  </si>
  <si>
    <t>SMT-HC3-SSL-SM</t>
  </si>
  <si>
    <t>4056-2-1809</t>
  </si>
  <si>
    <t>GigaSMART, GigaVUE-HC3, GTP Filtering &amp; Correlation feature license per GigaSMART module, Maximum subscribers; Standard Maintenance. Perpetual</t>
  </si>
  <si>
    <t>SMT-HC3-GTPMAX-SM</t>
  </si>
  <si>
    <t>4056-2-1810</t>
  </si>
  <si>
    <t>GigaVUE-TA100 edge node, 20 100G CXP cages, 8 QSFP28 cages, 2 power supplies, 3 fan trays, AC power, all ports enabled; Premium Maintenance</t>
  </si>
  <si>
    <t>GVS-TACX1-PM</t>
  </si>
  <si>
    <t>4056-2-1811</t>
  </si>
  <si>
    <t>GigaVUE-TA100 edge node, 20 100G CXP cages, 8 QSFP28 cages, 2 power supplies, 3 fan trays, DC power, all ports enabled; Premium Maintenance</t>
  </si>
  <si>
    <t>GVS-TACX2-PM</t>
  </si>
  <si>
    <t>4056-2-1812</t>
  </si>
  <si>
    <t>Bypass Combo Module, GigaVUE-HC1, 2 SX/SR 50/125 BPS pairs, 4 10G cages; Premium Maintenance</t>
  </si>
  <si>
    <t>BPS-HC1-D25A24-PM</t>
  </si>
  <si>
    <t>4056-2-1813</t>
  </si>
  <si>
    <t>GigaSMART, GigaVUE-HC1 license, FlowVUE feature license; Premium Maintenance. Perpetual</t>
  </si>
  <si>
    <t>SMT-HC1-FVU-PM</t>
  </si>
  <si>
    <t>4056-2-1814</t>
  </si>
  <si>
    <t>GigaSMART, GigaVUE-HC1 license, Adaptive Packet Filtering feature; Premium Maintenance. Perpetual</t>
  </si>
  <si>
    <t>SMT-HC1-APF-PM</t>
  </si>
  <si>
    <t>4056-2-1815</t>
  </si>
  <si>
    <t>GigaSMART, GigaVUE-HC1 license, Application Session Filtering feature license; requires SMT-HC1-APF; Premium Maintenance. Perpetual</t>
  </si>
  <si>
    <t>SMT-HC1-ASF-PM</t>
  </si>
  <si>
    <t>4056-2-1816</t>
  </si>
  <si>
    <t>GigaSMART, GigaVUE-HC1, SSL Decryption for Out of Band Tools Feature License; Premium Maintenance. Perpetual</t>
  </si>
  <si>
    <t>SMT-HC1-SSL-PM</t>
  </si>
  <si>
    <t>4056-2-1817</t>
  </si>
  <si>
    <t>Bypass Combo Module, GigaVUE-HC2, 2 40G SR4 BPS pairs, 8 10G cages; Premium Maintenance</t>
  </si>
  <si>
    <t>BPS-HC0-Q25A28-PM</t>
  </si>
  <si>
    <t>4056-2-1818</t>
  </si>
  <si>
    <t>GigaSMART, GigaVUE-HC2, SSL Decryption for Inline and Out of Band Tools Feature License per GigaSMART module; Premium Maintenance</t>
  </si>
  <si>
    <t>SMT-HC0-INSSL -PM</t>
  </si>
  <si>
    <t>4056-2-1819</t>
  </si>
  <si>
    <t>GigaSMART, GigaVUE-HC2, SSL Decryption Upgrade for Inline Tools Feature License per GigaSMART module; Premium Maintenance</t>
  </si>
  <si>
    <t>SMT-HC0-UPGINSSL -PM</t>
  </si>
  <si>
    <t>4056-2-1820</t>
  </si>
  <si>
    <t>GigaVUE-HC3 base unit w/ chassis, Control Card, 5 Fan Modules, CLI, 2 power supplies, AC power ; Premium Maintenance</t>
  </si>
  <si>
    <t>GVS-HC301-PM</t>
  </si>
  <si>
    <t>4056-2-1821</t>
  </si>
  <si>
    <t>GigaVUE-HC3 base unit w/ chassis, Control Card, 5 Fan Modules, CLI, 2 power supplies, DC power ; Premium Maintenance</t>
  </si>
  <si>
    <t>GVS-HC302-PM</t>
  </si>
  <si>
    <t>4056-2-1822</t>
  </si>
  <si>
    <t>Port Module, GigaVUE-HC3, 8x100G QSFP28 cages and 8x40G QSFP+ cages; Premium Maintenance</t>
  </si>
  <si>
    <t>PRT-HC3-C08Q08-PM</t>
  </si>
  <si>
    <t>4056-2-1823</t>
  </si>
  <si>
    <t>Port Module, GigaVUE-HC3, 24x10G; Premium Maintenance</t>
  </si>
  <si>
    <t>PRT-HC3-X24-PM</t>
  </si>
  <si>
    <t>4056-2-1824</t>
  </si>
  <si>
    <t>GigaSMART, GigaVUE-HC3, 5x100G QSFP28 cages (includes Slicing, Masking, Source Port &amp; GigaVUE Tunneling De-Encapsulation SW); Premium Maintenance. Perpetual</t>
  </si>
  <si>
    <t>SMT-HC3-C05-PM</t>
  </si>
  <si>
    <t>4056-2-1825</t>
  </si>
  <si>
    <t>GigaSMART, GigaVUE-HC3, De-Duplication feature license per GigaSMART module ; Premium Maintenance. Perpetual</t>
  </si>
  <si>
    <t>SMT-HC3-DD1-PM</t>
  </si>
  <si>
    <t>4056-2-1826</t>
  </si>
  <si>
    <t>GigaSMART, GigaVUE-HC3, Header Stripping feature license per GigaSMART module; Premium Maintenance. Perpetual</t>
  </si>
  <si>
    <t>SMT-HC3-HS1-PM</t>
  </si>
  <si>
    <t>4056-2-1827</t>
  </si>
  <si>
    <t>GigaSMART, GigaVUE-HC3, Advanced Tunneling feature license per GigaSMART module; Premium Maintenance. Perpetual</t>
  </si>
  <si>
    <t>SMT-HC3-AT1-PM</t>
  </si>
  <si>
    <t>4056-2-1828</t>
  </si>
  <si>
    <t>GigaSMART, GigaVUE-HC3, FlowVUE feature license per GigaSMART module; Premium Maintenance. Perpetual</t>
  </si>
  <si>
    <t>SMT-HC3-FVU-PM</t>
  </si>
  <si>
    <t>4056-2-1829</t>
  </si>
  <si>
    <t>GigaSMART, GigaVUE-HC3, Adaptive Packet Filtering feature license per GigaSMART module; Premium Maintenance. Perpetual</t>
  </si>
  <si>
    <t>SMT-HC3-APF-PM</t>
  </si>
  <si>
    <t>4056-2-1830</t>
  </si>
  <si>
    <t>GigaSMART, GigaVUE-HC3, Application Session Filtering feature license per GigaSMART module; Premium Maintenance. Perpetual</t>
  </si>
  <si>
    <t>SMT-HC3-ASF-PM</t>
  </si>
  <si>
    <t>4056-2-1831</t>
  </si>
  <si>
    <t>GigaSMART, GigaVUE-HC3, NetFlow Generation feature license per GigaSMART module; Premium Maintenance. Perpetual</t>
  </si>
  <si>
    <t>SMT-HC3-NF1-PM</t>
  </si>
  <si>
    <t>4056-2-1832</t>
  </si>
  <si>
    <t>GigaSMART, GigaVUE-HC3, SSL Decryption for Out of Band Tools Feature License per GigaSMART module; Premium Maintenance. Perpetual</t>
  </si>
  <si>
    <t>SMT-HC3-SSL-PM</t>
  </si>
  <si>
    <t>4056-2-1833</t>
  </si>
  <si>
    <t>GigaSMART, GigaVUE-HC3, GTP Filtering &amp; Correlation feature license per GigaSMART module, Maximum subscribers; Premium Maintenance. Perpetual</t>
  </si>
  <si>
    <t>SMT-HC3-GTPMAX-PM</t>
  </si>
  <si>
    <t>4056-2-1834</t>
  </si>
  <si>
    <t>GigaVUE-TA100 edge node, 20 100G CXP cages, 8 QSFP28 cages, 2 power supplies, 3 fan trays, AC power, all ports enabled; Upgrade</t>
  </si>
  <si>
    <t>GVS-TACX1-U</t>
  </si>
  <si>
    <t>4056-2-1835</t>
  </si>
  <si>
    <t>GigaVUE-TA100 edge node, 20 100G CXP cages, 8 QSFP28 cages, 2 power supplies, 3 fan trays, DC power, all ports enabled; Upgrade</t>
  </si>
  <si>
    <t>GVS-TACX2-U</t>
  </si>
  <si>
    <t>4056-2-1836</t>
  </si>
  <si>
    <t>Bypass Combo Module, GigaVUE-HC1, 2 SX/SR 50/125 BPS pairs, 4 10G cages; Upgrade</t>
  </si>
  <si>
    <t>BPS-HC1-D25A24-U</t>
  </si>
  <si>
    <t>4056-2-1837</t>
  </si>
  <si>
    <t>GigaSMART, GigaVUE-HC1 license, FlowVUE feature license; Upgrade. Perpetual</t>
  </si>
  <si>
    <t>SMT-HC1-FVU-U</t>
  </si>
  <si>
    <t>4056-2-1838</t>
  </si>
  <si>
    <t>GigaSMART, GigaVUE-HC1 license, Adaptive Packet Filtering feature; Upgrade. Perpetual</t>
  </si>
  <si>
    <t>SMT-HC1-APF-U</t>
  </si>
  <si>
    <t>4056-2-1839</t>
  </si>
  <si>
    <t>GigaSMART, GigaVUE-HC1 license, Application Session Filtering feature license; requires SMT-HC1-APF; Upgrade. Perpetual</t>
  </si>
  <si>
    <t>SMT-HC1-ASF-U</t>
  </si>
  <si>
    <t>4056-2-1840</t>
  </si>
  <si>
    <t>GigaSMART, GigaVUE-HC1, SSL Decryption for Out of Band Tools Feature License; Upgrade. Perpetual</t>
  </si>
  <si>
    <t>SMT-HC1-SSL-U</t>
  </si>
  <si>
    <t>4056-2-1841</t>
  </si>
  <si>
    <t>Bypass Combo Module, GigaVUE-HC2, 2 40G SR4 BPS pairs, 8 10G cages; Upgrade</t>
  </si>
  <si>
    <t>BPS-HC0-Q25A28-U</t>
  </si>
  <si>
    <t>4056-2-1842</t>
  </si>
  <si>
    <t>GigaSMART, GigaVUE-HC2, SSL Decryption for Inline and Out of Band Tools Feature License per GigaSMART module; Upgrade</t>
  </si>
  <si>
    <t>SMT-HC0-INSSL -U</t>
  </si>
  <si>
    <t>4056-2-1864</t>
  </si>
  <si>
    <t>GigaVUE-TA10 edge node, 4 40G cages + 48 10G cages, 2 power supplies, 2 Fan trays, AC power;Initial Gigamon Pass-through Support Type with Enhanced Support Level (8-5,M-F/AHR), bought with product or within 1 year of original purchase of product</t>
  </si>
  <si>
    <t>GVS-TAX01-ENH</t>
  </si>
  <si>
    <t>4056-2-1865</t>
  </si>
  <si>
    <t>GigaVUE-TA10 edge node, 4 40G cages + 48 10G cages, 2 power supplies, 2 Fan trays, DC power;Initial Gigamon Pass-through Support Type with Enhanced Support Level (8-5,M-F/AHR), bought with product or within 1 year of original purchase of product</t>
  </si>
  <si>
    <t>GVS-TAX02-ENH</t>
  </si>
  <si>
    <t>4056-2-1866</t>
  </si>
  <si>
    <t>GigaVUE-TA10 edge node, 24 10G ports enabled, 2 power supplies, 2 Fan trays, AC power;Initial Gigamon Pass-through Support Type with Enhanced Support Level (8-5,M-F/AHR), bought with product or within 1 year of original purchase of product</t>
  </si>
  <si>
    <t>GVS-TAX01A-ENH</t>
  </si>
  <si>
    <t>4056-2-1867</t>
  </si>
  <si>
    <t>GigaVUE-TA10 edge node, 24 10G ports enabled, 2 power supplies, 2 Fan trays, DC power;Initial Gigamon Pass-through Support Type with Enhanced Support Level (8-5,M-F/AHR), bought with product or within 1 year of original purchase of product</t>
  </si>
  <si>
    <t>GVS-TAX02A-ENH</t>
  </si>
  <si>
    <t>4056-2-1868</t>
  </si>
  <si>
    <t>GigaVUE-TA40 edge node, 32 40G cages, 2 power supplies, 3 fan trays, AC power;Initial Gigamon Pass-through Support Type with Enhanced Support Level (8-5,M-F/AHR), bought with product or within 1 year of original purchase of product</t>
  </si>
  <si>
    <t>GVS-TAQ01-ENH</t>
  </si>
  <si>
    <t>4056-2-1869</t>
  </si>
  <si>
    <t>GigaVUE-TA40 edge node, 32 40G cages, 2 power supplies, 3 fan trays, DC power;Initial Gigamon Pass-through Support Type with Enhanced Support Level (8-5,M-F/AHR), bought with product or within 1 year of original purchase of product</t>
  </si>
  <si>
    <t>GVS-TAQ02-ENH</t>
  </si>
  <si>
    <t>4056-2-1870</t>
  </si>
  <si>
    <t>GigaVUE-TA100 edge node, 32 100G cages, 2 power supplies, 3 fan trays, AC power; 16 ports enabled;Initial Gigamon Pass-through Support Type with Enhanced Support Level (8-5,M-F/AHR), bought with product or within 1 year of original purchase of product</t>
  </si>
  <si>
    <t>GVS-TAC01-ENH</t>
  </si>
  <si>
    <t>4056-2-1871</t>
  </si>
  <si>
    <t>GigaVUE-TA100 edge node, 32 100G cages, 2 power supplies, 3 fan trays, DC power; 16 ports enabled;Initial Gigamon Pass-through Support Type with Enhanced Support Level (8-5,M-F/AHR), bought with product or within 1 year of original purchase of product</t>
  </si>
  <si>
    <t>GVS-TAC02-ENH</t>
  </si>
  <si>
    <t>4056-2-1872</t>
  </si>
  <si>
    <t>GigaVUE-TA100 edge node, 20 100G CXP cages, 8 QSFP28 cages, 2 power supplies, 3 fan trays, AC power, all ports enabled;Initial Gigamon Pass-through Support Type with Enhanced Support Level (8-5,M-F/AHR), bought with product or within 1 year of original p</t>
  </si>
  <si>
    <t>GVS-TACX1-ENH</t>
  </si>
  <si>
    <t>4056-2-1873</t>
  </si>
  <si>
    <t>GigaVUE-TA100 edge node, 20 100G CXP cages, 8 QSFP28 cages, 2 power supplies, 3 fan trays, DC power, all ports enabled;Initial Gigamon Pass-through Support Type with Enhanced Support Level (8-5,M-F/AHR), bought with product or within 1 year of original p</t>
  </si>
  <si>
    <t>GVS-TACX2-ENH</t>
  </si>
  <si>
    <t>4056-2-1874</t>
  </si>
  <si>
    <t>GigaVUE-OS SW license for certified 10G-based white box edge hardware, perpetual license, Premium Support required;Initial Gigamon Pass-through Support Type with Enhanced Support Level (8-5,M-F/AHR), bought with product or within 1 year of original purch</t>
  </si>
  <si>
    <t>GSW-WBX00-ENH</t>
  </si>
  <si>
    <t>4056-2-1875</t>
  </si>
  <si>
    <t>Upgrade option to enable all GigaVUE-TA1 ports (48 10G + 4 40G);Initial Gigamon Pass-through Support Type with Enhanced Support Level (8-5,M-F/AHR), bought with product or within 1 year of original purchase of product. Perpetual</t>
  </si>
  <si>
    <t>UPG-TA100-ENH</t>
  </si>
  <si>
    <t>4056-2-1876</t>
  </si>
  <si>
    <t>Upgrade option for GVS-TAX01A/TAX02A to enable all GigaVUE-TA10 ports (48 10G + 4 40G);Initial Gigamon Pass-through Support Type with Enhanced Support Level (8-5,M-F/AHR), bought with product or within 1 year of original purchase of product. Perpetual</t>
  </si>
  <si>
    <t>UPG-TAX00-ENH</t>
  </si>
  <si>
    <t>4056-2-1877</t>
  </si>
  <si>
    <t>Upgrade option to enable 24 GigaVUE-TA100 ports (24 100G);Initial Gigamon Pass-through Support Type with Enhanced Support Level (8-5,M-F/AHR), bought with product or within 1 year of original purchase of product. Perpetual</t>
  </si>
  <si>
    <t>UPG-TAC24-ENH</t>
  </si>
  <si>
    <t>4056-2-1878</t>
  </si>
  <si>
    <t>Upgrade option to enable 32 GigaVUE-TA100 ports (32 100G); requires UPG-TAC24;Initial Gigamon Pass-through Support Type with Enhanced Support Level (8-5,M-F/AHR), bought with product or within 1 year of original purchase of product. Perpetual</t>
  </si>
  <si>
    <t>UPG-TAC32-ENH</t>
  </si>
  <si>
    <t>4056-2-1879</t>
  </si>
  <si>
    <t>Clustering, GigaVUE-TA1/10 and 10G Whitebox, Feature license per node;Initial Gigamon Pass-through Support Type with Enhanced Support Level (8-5,M-F/AHR), bought with product or within 1 year of original purchase of product. Perpetual</t>
  </si>
  <si>
    <t>CLS-TA100-ENH</t>
  </si>
  <si>
    <t>4056-2-1880</t>
  </si>
  <si>
    <t>Clustering, GigaVUE-TA40, Feature license per node;Initial Gigamon Pass-through Support Type with Enhanced Support Level (8-5,M-F/AHR), bought with product or within 1 year of original purchase of product. Perpetual</t>
  </si>
  <si>
    <t>CLS-TAQ00-ENH</t>
  </si>
  <si>
    <t>4056-2-1881</t>
  </si>
  <si>
    <t>Clustering, GigaVUE-TA100, Feature license per node, 40G only;Initial Gigamon Pass-through Support Type with Enhanced Support Level (8-5,M-F/AHR), bought with product or within 1 year of original purchase of product. Perpetual</t>
  </si>
  <si>
    <t>CLS-TAC00-ENH</t>
  </si>
  <si>
    <t>4056-2-1882</t>
  </si>
  <si>
    <t>GigaVUE-HB1-0416 branch node, 4 10G cages, 8 1G cages, 8 1G copper, 2 Fan Trays, Single AC power ;Initial Gigamon Pass-through Support Type with Enhanced Support Level (8-5,M-F/AHR), bought with product or within 1 year of original purchase of product</t>
  </si>
  <si>
    <t>GVS-HB101-0416-ENH</t>
  </si>
  <si>
    <t>4056-2-1883</t>
  </si>
  <si>
    <t>GigaVUE-HB1-0416 branch node, 4 10G cages, 8 1G cages, 8 1G copper, 2 Fan Trays, Single DC power ;Initial Gigamon Pass-through Support Type with Enhanced Support Level (8-5,M-F/AHR), bought with product or within 1 year of original purchase of product</t>
  </si>
  <si>
    <t>GVS-HB102-0416-ENH</t>
  </si>
  <si>
    <t>4056-2-1884</t>
  </si>
  <si>
    <t>GigaSMART, HB license combo, includes Slicing, Masking, &amp; Source Port features ;Initial Gigamon Pass-through Support Type with Enhanced Support Level (8-5,M-F/AHR), bought with product or within 1 year of original purchase of product. Perpetual</t>
  </si>
  <si>
    <t>SMT-HB1-BSE-ENH</t>
  </si>
  <si>
    <t>4056-2-1885</t>
  </si>
  <si>
    <t>GigaSMART, HB license, De-Duplication feature ;Initial Gigamon Pass-through Support Type with Enhanced Support Level (8-5,M-F/AHR), bought with product or within 1 year of original purchase of product. Perpetual</t>
  </si>
  <si>
    <t>SMT-HB1-DD1-ENH</t>
  </si>
  <si>
    <t>4056-2-1886</t>
  </si>
  <si>
    <t>GigaSMART, HB license, Header Stripping feature;Initial Gigamon Pass-through Support Type with Enhanced Support Level (8-5,M-F/AHR), bought with product or within 1 year of original purchase of product. Perpetual</t>
  </si>
  <si>
    <t>SMT-HB1-HS1-ENH</t>
  </si>
  <si>
    <t>4056-2-1887</t>
  </si>
  <si>
    <t>GigaSMART, HB license, Tunneling feature (includes ERSPAN De-Encapsulation);Initial Gigamon Pass-through Support Type with Enhanced Support Level (8-5,M-F/AHR), bought with product or within 1 year of original purchase of product. Perpetual</t>
  </si>
  <si>
    <t>SMT-HB1-TUN-ENH</t>
  </si>
  <si>
    <t>4056-2-1888</t>
  </si>
  <si>
    <t>GigaSMART, HB license, Adaptive Packet Filtering feature ;Initial Gigamon Pass-through Support Type with Enhanced Support Level (8-5,M-F/AHR), bought with product or within 1 year of original purchase of product. Perpetual</t>
  </si>
  <si>
    <t>SMT-HB0-APF-ENH</t>
  </si>
  <si>
    <t>4056-2-1889</t>
  </si>
  <si>
    <t>GigaSMART, HB license, Application Session Filtering feature; requires SMT-HB0-APF ;Initial Gigamon Pass-through Support Type with Enhanced Support Level (8-5,M-F/AHR), bought with product or within 1 year of original purchase of product. Perpetual</t>
  </si>
  <si>
    <t>SMT-HB0-ASF-ENH</t>
  </si>
  <si>
    <t>4056-2-1890</t>
  </si>
  <si>
    <t>GigaSMART, HB License, SSL Decryption for Out of Band Tools Feature;Initial Gigamon Pass-through Support Type with Enhanced Support Level (8-5,M-F/AHR), bought with product or within 1 year of original purchase of product. Perpetual</t>
  </si>
  <si>
    <t>SMT-HB0-SSL-ENH</t>
  </si>
  <si>
    <t>4056-2-1891</t>
  </si>
  <si>
    <t>GigaSMART, HB license, GTP Filtering &amp; Correlation feature, 250K subscribers;Initial Gigamon Pass-through Support Type with Enhanced Support Level (8-5,M-F/AHR), bought with product or within 1 year of original purchase of product. Perpetual</t>
  </si>
  <si>
    <t>SMT-HB0-GTP250-ENH</t>
  </si>
  <si>
    <t>4056-2-1892</t>
  </si>
  <si>
    <t>GigaSMART, HB license, FlowVUE feature;Initial Gigamon Pass-through Support Type with Enhanced Support Level (8-5,M-F/AHR), bought with product or within 1 year of original purchase of product. Perpetual</t>
  </si>
  <si>
    <t>SMT-HB0-FVU-ENH</t>
  </si>
  <si>
    <t>4056-2-1893</t>
  </si>
  <si>
    <t>GigaSMART, HB license, NetFlow Generation feature ;Initial Gigamon Pass-through Support Type with Enhanced Support Level (8-5,M-F/AHR), bought with product or within 1 year of original purchase of product. Perpetual</t>
  </si>
  <si>
    <t>SMT-HB0-NF1-ENH</t>
  </si>
  <si>
    <t>4056-2-1894</t>
  </si>
  <si>
    <t>GigaVUE-HC1 node, 12 1G/10G cages, 4 10/100/1000M Copper, fan tray, 2 power supplies, AC power;Initial Gigamon Pass-through Support Type with Enhanced Support Level (8-5,M-F/AHR), bought with product or within 1 year of original purchase of product</t>
  </si>
  <si>
    <t>GVS-HC101-ENH</t>
  </si>
  <si>
    <t>4056-2-1895</t>
  </si>
  <si>
    <t>GigaVUE-HC1 node, 12 1G/10G cages, 4 10/100/1000M Copper, fan tray, 2 power supplies, DC power;Initial Gigamon Pass-through Support Type with Enhanced Support Level (8-5,M-F/AHR), bought with product or within 1 year of original purchase of product</t>
  </si>
  <si>
    <t>GVS-HC102-ENH</t>
  </si>
  <si>
    <t>4056-2-1896</t>
  </si>
  <si>
    <t>Bypass Combo Module, GigaVUE-HC1, 2 SX/SR 50/125 BPS pairs, 4 10G cages;Initial Gigamon Pass-through Support Type with Enhanced Support Level (8-5,M-F/AHR), bought with product or within 1 year of original purchase of product</t>
  </si>
  <si>
    <t>BPS-HC1-D25A24-ENH</t>
  </si>
  <si>
    <t>4056-2-1897</t>
  </si>
  <si>
    <t>TAP and Bypass module, GigaVUE-HC1, 10/100/1000M Copper, 4 TAPs or BPC pairs;Initial Gigamon Pass-through Support Type with Enhanced Support Level (8-5,M-F/AHR), bought with product or within 1 year of original purchase of product</t>
  </si>
  <si>
    <t>TAP-HC1-G10040-ENH</t>
  </si>
  <si>
    <t>4056-2-1898</t>
  </si>
  <si>
    <t>GigaSMART, GigaVUE-HC1 license combo, includes Slicing, Masking, &amp; Source Port features ;Initial Gigamon Pass-through Support Type with Enhanced Support Level (8-5,M-F/AHR), bought with product or within 1 year of original purchase of product. Perpetual</t>
  </si>
  <si>
    <t>SMT-HC1-BSE-ENH</t>
  </si>
  <si>
    <t>4056-2-1899</t>
  </si>
  <si>
    <t>GigaSMART, GigaVUE-HC1 license, De-Duplication feature;Initial Gigamon Pass-through Support Type with Enhanced Support Level (8-5,M-F/AHR), bought with product or within 1 year of original purchase of product. Perpetual</t>
  </si>
  <si>
    <t>SMT-HC1-DD1-ENH</t>
  </si>
  <si>
    <t>4056-2-1900</t>
  </si>
  <si>
    <t>GigaSMART, GigaVUE-HC1 license, Header Stripping feature;Initial Gigamon Pass-through Support Type with Enhanced Support Level (8-5,M-F/AHR), bought with product or within 1 year of original purchase of product. Perpetual</t>
  </si>
  <si>
    <t>SMT-HC1-HS1-ENH</t>
  </si>
  <si>
    <t>4056-2-1901</t>
  </si>
  <si>
    <t>GigaSMART, GigaVUE-HC1 license, Tunneling feature (includes ERSPAN De-Encapsulation);Initial Gigamon Pass-through Support Type with Enhanced Support Level (8-5,M-F/AHR), bought with product or within 1 year of original purchase of product. Perpetual</t>
  </si>
  <si>
    <t>SMT-HC1-TUN-ENH</t>
  </si>
  <si>
    <t>4056-2-1902</t>
  </si>
  <si>
    <t>GigaSMART, GigaVUE-HC1 license, NetFlow Generation feature ;Initial Gigamon Pass-through Support Type with Enhanced Support Level (8-5,M-F/AHR), bought with product or within 1 year of original purchase of product. Perpetual</t>
  </si>
  <si>
    <t>SMT-HC1-NF1-ENH</t>
  </si>
  <si>
    <t>4056-2-1903</t>
  </si>
  <si>
    <t>GigaSMART, GigaVUE-HC1 license, FlowVUE feature license;Initial Gigamon Pass-through Support Type with Enhanced Support Level (8-5,M-F/AHR), bought with product or within 1 year of original purchase of product. Perpetual</t>
  </si>
  <si>
    <t>SMT-HC1-FVU-ENH</t>
  </si>
  <si>
    <t>4056-2-1904</t>
  </si>
  <si>
    <t>GigaSMART, GigaVUE-HC1 license, Adaptive Packet Filtering feature;Initial Gigamon Pass-through Support Type with Enhanced Support Level (8-5,M-F/AHR), bought with product or within 1 year of original purchase of product. Perpetual</t>
  </si>
  <si>
    <t>SMT-HC1-APF-ENH</t>
  </si>
  <si>
    <t>4056-2-1905</t>
  </si>
  <si>
    <t>GigaSMART, GigaVUE-HC1 license, Application Session Filtering feature license; requires SMT-HC1-APF;Initial Gigamon Pass-through Support Type with Enhanced Support Level (8-5,M-F/AHR), bought with product or within 1 year of original purchase of product.</t>
  </si>
  <si>
    <t>SMT-HC1-ASF-ENH</t>
  </si>
  <si>
    <t>4056-2-1906</t>
  </si>
  <si>
    <t>GigaSMART, GigaVUE-HC1, SSL Decryption for Out of Band Tools Feature License;Initial Gigamon Pass-through Support Type with Enhanced Support Level (8-5,M-F/AHR), bought with product or within 1 year of original purchase of product. Perpetual</t>
  </si>
  <si>
    <t>SMT-HC1-SSL-ENH</t>
  </si>
  <si>
    <t>4056-2-1907</t>
  </si>
  <si>
    <t>GigaVUE-HC2 base unit w/ chassis, Control Card, 1 Fan Tray, CLI, 2 power supplies, AC power ;Initial Gigamon Pass-through Support Type with Enhanced Support Level (8-5,M-F/AHR), bought with product or within 1 year of original purchase of product</t>
  </si>
  <si>
    <t>GVS-HC201-ENH</t>
  </si>
  <si>
    <t>4056-2-1908</t>
  </si>
  <si>
    <t>GigaVUE-HC2 base unit w/ chassis, Control Card, 1 Fan Tray, CLI, 2 power supplies, DC power ;Initial Gigamon Pass-through Support Type with Enhanced Support Level (8-5,M-F/AHR), bought with product or within 1 year of original purchase of product</t>
  </si>
  <si>
    <t>GVS-HC202-ENH</t>
  </si>
  <si>
    <t>4056-2-1909</t>
  </si>
  <si>
    <t>GigaVUE-HC2 base unit w/ chassis, Control Card Version 2, 1 Fan Tray, CLI, 2 power supplies, AC power ;Initial Gigamon Pass-through Support Type with Enhanced Support Level (8-5,M-F/AHR), bought with product or within 1 year of original purchase of prod</t>
  </si>
  <si>
    <t>GVS-HC2A1-ENH</t>
  </si>
  <si>
    <t>4056-2-1910</t>
  </si>
  <si>
    <t>GigaVUE-HC2 base unit w/ chassis, Control Card Version 2, 1 Fan Tray, CLI, 2 power supplies, DC power ;Initial Gigamon Pass-through Support Type with Enhanced Support Level (8-5,M-F/AHR), bought with product or within 1 year of original purchase of prod</t>
  </si>
  <si>
    <t>GVS-HC2A2-ENH</t>
  </si>
  <si>
    <t>4056-2-1911</t>
  </si>
  <si>
    <t>Bypass Combo Module, GigaVUE-HC2, 4 SX/SR 50/125 BPS pairs, 16 10G cages;Initial Gigamon Pass-through Support Type with Enhanced Support Level (8-5,M-F/AHR), bought with product or within 1 year of original purchase of product</t>
  </si>
  <si>
    <t>BPS-HC0-D25A4G-ENH</t>
  </si>
  <si>
    <t>4056-2-2132</t>
  </si>
  <si>
    <t>Bypass Combo Module, GigaVUE-HC2, 4 SX/SR 62.5/125 BPS pairs, 16 10G cages;Initial Gigamon Pass-through Support Type with Enhanced Support Level (8-5,M-F/AHR), bought with product or within 1 year of original purchase of product</t>
  </si>
  <si>
    <t>BPS-HC0-D25B4G-ENH</t>
  </si>
  <si>
    <t>4056-2-2133</t>
  </si>
  <si>
    <t>Bypass Combo Module, GigaVUE-HC2, 4 LX/LR BPS pairs, 16 10G cages;Initial Gigamon Pass-through Support Type with Enhanced Support Level (8-5,M-F/AHR), bought with product or within 1 year of original purchase of product</t>
  </si>
  <si>
    <t>BPS-HC0-D35C4G-ENH</t>
  </si>
  <si>
    <t>4056-2-2134</t>
  </si>
  <si>
    <t>Bypass Combo Module, GigaVUE-HC2, 2 40G SR4 BPS pairs, 8 10G cages;Initial Gigamon Pass-through Support Type with Enhanced Support Level (8-5,M-F/AHR), bought with product or within 1 year of original purchase of product</t>
  </si>
  <si>
    <t>BPS-HC0-Q25A28-ENH</t>
  </si>
  <si>
    <t>4056-2-2135</t>
  </si>
  <si>
    <t>Port Module, GigaVUE-HC2, 24x10G;Initial Gigamon Pass-through Support Type with Enhanced Support Level (8-5,M-F/AHR), bought with product or within 1 year of original purchase of product</t>
  </si>
  <si>
    <t>PRT-HC0-X24-ENH</t>
  </si>
  <si>
    <t>4056-2-1858</t>
  </si>
  <si>
    <t>Port Module, GigaVUE-HC2, 6x40G;Initial Gigamon Pass-through Support Type with Enhanced Support Level (8-5,M-F/AHR), bought with product or within 1 year of original purchase of product</t>
  </si>
  <si>
    <t>PRT-HC0-Q06-ENH</t>
  </si>
  <si>
    <t>4056-2-1859</t>
  </si>
  <si>
    <t>Port Module, GigaVUE-HC2, 2x100G QSFP28 cages. Requires Control Card Version 2;Initial Gigamon Pass-through Support Type with Enhanced Support Level (8-5,M-F/AHR), bought with product or within 1 year of original purchase of product</t>
  </si>
  <si>
    <t>PRT-HC0-C02-ENH</t>
  </si>
  <si>
    <t>4056-2-1912</t>
  </si>
  <si>
    <t>GigaSMART, GigaVUE-HC2 rear module (includes Slicing, Masking, Source Port &amp; GigaVUE Tunneling De-Encapsulation SW) ;Initial Gigamon Pass-through Support Type with Enhanced Support Level (8-5,M-F/AHR), bought with product or within 1 year o. Perpetual</t>
  </si>
  <si>
    <t>SMT-HC0-R-ENH</t>
  </si>
  <si>
    <t>4056-2-1913</t>
  </si>
  <si>
    <t>GigaSMART, GigaVUE-HC2, Front Module, 16 10G cages (includes Slicing, Masking, Source Port &amp; GigaVUE Tunneling De-Encapsulation SW);Initial Gigamon Pass-through Support Type with Enhanced Support Level (8-5,M-F/AHR), bought with product or within 1 year.</t>
  </si>
  <si>
    <t>SMT-HC0-X16-ENH</t>
  </si>
  <si>
    <t>4056-2-1914</t>
  </si>
  <si>
    <t>GigaSMART, GigaVUE-HC2, De-Duplication feature license per GigaSMART module ;Initial Gigamon Pass-through Support Type with Enhanced Support Level (8-5,M-F/AHR), bought with product or within 1 year of original purchase of product. Perpetual</t>
  </si>
  <si>
    <t>SMT-HC0-DD1-ENH</t>
  </si>
  <si>
    <t>4056-2-1915</t>
  </si>
  <si>
    <t>GigaSMART, GigaVUE-HC2, Header Stripping feature license per GigaSMART module;Initial Gigamon Pass-through Support Type with Enhanced Support Level (8-5,M-F/AHR), bought with product or within 1 year of original purchase of product. Perpetual</t>
  </si>
  <si>
    <t>SMT-HC0-HS1-ENH</t>
  </si>
  <si>
    <t>4056-2-1916</t>
  </si>
  <si>
    <t>GigaSMART, GigaVUE-HC2, Advanced Tunneling feature license per GigaSMART module;Initial Gigamon Pass-through Support Type with Enhanced Support Level (8-5,M-F/AHR), bought with product or within 1 year of original purchase of product. Perpetual</t>
  </si>
  <si>
    <t>SMT-HC0-AT1-ENH</t>
  </si>
  <si>
    <t>4056-2-1917</t>
  </si>
  <si>
    <t>GigaSMART, GigaVUE-HC2, FlowVUE feature license per GigaSMART module;Initial Gigamon Pass-through Support Type with Enhanced Support Level (8-5,M-F/AHR), bought with product or within 1 year of original purchase of product. Perpetual</t>
  </si>
  <si>
    <t>SMT-HC0-FVU-ENH</t>
  </si>
  <si>
    <t>4056-2-1918</t>
  </si>
  <si>
    <t>GigaSMART, GigaVUE-HC2, Adaptive Packet Filtering feature license per GigaSMART module;Initial Gigamon Pass-through Support Type with Enhanced Support Level (8-5,M-F/AHR), bought with product or within 1 year of original purchase of product. Perpetual</t>
  </si>
  <si>
    <t>SMT-HC0-APF-ENH</t>
  </si>
  <si>
    <t>4056-2-1919</t>
  </si>
  <si>
    <t>GigaSMART, GigaVUE-HC2, Application Session Filtering feature license per GigaSMART module; requires SMT-HC0-APF;Initial Gigamon Pass-through Support Type with Enhanced Support Level (8-5,M-F/AHR), bought with product or within 1 year of original purchas</t>
  </si>
  <si>
    <t>SMT-HC0-ASF-ENH</t>
  </si>
  <si>
    <t>4056-2-1920</t>
  </si>
  <si>
    <t>GigaSMART, GigaVUE-HC2, NetFlow Generation feature license per GigaSMART module;Initial Gigamon Pass-through Support Type with Enhanced Support Level (8-5,M-F/AHR), bought with product or within 1 year of original purchase of product. Perpetual</t>
  </si>
  <si>
    <t>SMT-HC0-NF1-ENH</t>
  </si>
  <si>
    <t>4056-2-1921</t>
  </si>
  <si>
    <t>GigaSMART, GigaVUE-HC2, SSL Decryption for Out of Band Tools Feature License per GigaSMART module;Initial Gigamon Pass-through Support Type with Enhanced Support Level (8-5,M-F/AHR), bought with product or within 1 year of original purchase of product. P</t>
  </si>
  <si>
    <t>SMT-HC0-SSL-ENH</t>
  </si>
  <si>
    <t>4056-2-1922</t>
  </si>
  <si>
    <t>GigaSMART, GigaVUE-HC2, SSL Decryption for Inline and Out of Band Tools Feature License per GigaSMART module;Initial Gigamon Pass-through Support Type with Enhanced Support Level (8-5,M-F/AHR), bought with product or within 1 year of original purchase of</t>
  </si>
  <si>
    <t>SMT-HC0-INSSL-ENH</t>
  </si>
  <si>
    <t>4056-2-1923</t>
  </si>
  <si>
    <t>GigaSMART, GigaVUE-HC2, SSL Decryption Upgrade for Inline Tools Feature License per GigaSMART module;Initial Gigamon Pass-through Support Type with Enhanced Support Level (8-5,M-F/AHR), bought with product or within 1 year of original purchase of product</t>
  </si>
  <si>
    <t>SMT-HC0-UPGINSSL-ENH</t>
  </si>
  <si>
    <t>4056-2-1924</t>
  </si>
  <si>
    <t>GigaSMART, GigaVUE-HC2, GTP Filtering &amp; Correlation feature license per GigaSMART module, 250K subscribers;Initial Gigamon Pass-through Support Type with Enhanced Support Level (8-5,M-F/AHR), bought with product or within 1 year of original purchase of p</t>
  </si>
  <si>
    <t>SMT-HC0-GTP250-ENH</t>
  </si>
  <si>
    <t>4056-2-1925</t>
  </si>
  <si>
    <t>GigaSMART, GigaVUE-HC2, GTP Filtering &amp; Correlation feature license per GigaSMART module, 500K subscribers;Initial Gigamon Pass-through Support Type with Enhanced Support Level (8-5,M-F/AHR), bought with product or within 1 year of original purchase of p</t>
  </si>
  <si>
    <t>SMT-HC0-GTP500-ENH</t>
  </si>
  <si>
    <t>4056-2-1926</t>
  </si>
  <si>
    <t>GigaSMART, GigaVUE-HC2, GTP Filtering &amp; Correlation feature license per GigaSMART module, Maximum subscribers;Initial Gigamon Pass-through Support Type with Enhanced Support Level (8-5,M-F/AHR), bought with product or within 1 year of original purchase o</t>
  </si>
  <si>
    <t>SMT-HC0-GTPMAX-ENH</t>
  </si>
  <si>
    <t>4056-2-1927</t>
  </si>
  <si>
    <t>TAP module, GigaVUE-HC2, SX/SR Internal TAP Module 50/125, 12 TAPs;Initial Gigamon Pass-through Support Type with Enhanced Support Level (8-5,M-F/AHR), bought with product or within 1 year of original purchase of product</t>
  </si>
  <si>
    <t>TAP-HC0-D25AC0-ENH</t>
  </si>
  <si>
    <t>4056-2-1928</t>
  </si>
  <si>
    <t>TAP module, GigaVUE-HC2, SX/SR Internal TAP Module 62.5/125, 12 TAPs;Initial Gigamon Pass-through Support Type with Enhanced Support Level (8-5,M-F/AHR), bought with product or within 1 year of original purchase of product</t>
  </si>
  <si>
    <t>TAP-HC0-D25BC0-ENH</t>
  </si>
  <si>
    <t>4056-2-1929</t>
  </si>
  <si>
    <t>TAP module, GigaVUE-HC2, LX/LR Internal TAP Module, 12 TAPs;Initial Gigamon Pass-through Support Type with Enhanced Support Level (8-5,M-F/AHR), bought with product or within 1 year of original purchase of product</t>
  </si>
  <si>
    <t>TAP-HC0-D35CC0-ENH</t>
  </si>
  <si>
    <t>4056-2-1930</t>
  </si>
  <si>
    <t>TAP and Bypass module, GigaVUE-HC2, Copper, 12 TAPs or BPS pairs;Initial Gigamon Pass-through Support Type with Enhanced Support Level (8-5,M-F/AHR), bought with product or within 1 year of original purchase of product</t>
  </si>
  <si>
    <t>TAP-HC0-G100C0-ENH</t>
  </si>
  <si>
    <t>4056-2-1931</t>
  </si>
  <si>
    <t>GigaVUE-HC3 base unit w/ chassis, Control Card, 5 Fan Modules, CLI, 2 power supplies, AC power ;Initial Gigamon Pass-through Support Type with Enhanced Support Level (8-5,M-F/AHR), bought with product or within 1 year of original purchase of product</t>
  </si>
  <si>
    <t>GVS-HC301-ENH</t>
  </si>
  <si>
    <t>4056-2-1932</t>
  </si>
  <si>
    <t>GigaVUE-HC3 base unit w/ chassis, Control Card, 5 Fan Modules, CLI, 2 power supplies, DC power ;Initial Gigamon Pass-through Support Type with Enhanced Support Level (8-5,M-F/AHR), bought with product or within 1 year of original purchase of product</t>
  </si>
  <si>
    <t>GVS-HC302-ENH</t>
  </si>
  <si>
    <t>4056-2-1933</t>
  </si>
  <si>
    <t>Port Module, GigaVUE-HC3, 8x100G QSFP28 cages and 8x40G QSFP+ cages;Initial Gigamon Pass-through Support Type with Enhanced Support Level (8-5,M-F/AHR), bought with product or within 1 year of original purchase of product</t>
  </si>
  <si>
    <t>PRT-HC3-C08Q08-ENH</t>
  </si>
  <si>
    <t>4056-2-1934</t>
  </si>
  <si>
    <t>Port Module, GigaVUE-HC3, 24x10G;Initial Gigamon Pass-through Support Type with Enhanced Support Level (8-5,M-F/AHR), bought with product or within 1 year of original purchase of product</t>
  </si>
  <si>
    <t>PRT-HC3-X24-ENH</t>
  </si>
  <si>
    <t>4056-2-1935</t>
  </si>
  <si>
    <t>GigaSMART, GigaVUE-HC3, 5x100G QSFP28 cages (includes Slicing, Masking, Source Port &amp; GigaVUE Tunneling De-Encapsulation SW);Initial Gigamon Pass-through Support Type with Enhanced Support Level (8-5,M-F/AHR), bought with product or within 1 year of orig</t>
  </si>
  <si>
    <t>SMT-HC3-C05-ENH</t>
  </si>
  <si>
    <t>4056-2-1936</t>
  </si>
  <si>
    <t>GigaSMART, GigaVUE-HC3, De-Duplication feature license per GigaSMART module ;Initial Gigamon Pass-through Support Type with Enhanced Support Level (8-5,M-F/AHR), bought with product or within 1 year of original purchase of product. Perpetual</t>
  </si>
  <si>
    <t>SMT-HC3-DD1-ENH</t>
  </si>
  <si>
    <t>4056-2-1937</t>
  </si>
  <si>
    <t>GigaSMART, GigaVUE-HC3, Header Stripping feature license per GigaSMART module;Initial Gigamon Pass-through Support Type with Enhanced Support Level (8-5,M-F/AHR), bought with product or within 1 year of original purchase of product. Perpetual</t>
  </si>
  <si>
    <t>SMT-HC3-HS1-ENH</t>
  </si>
  <si>
    <t>4056-2-1938</t>
  </si>
  <si>
    <t>GigaSMART, GigaVUE-HC3, Advanced Tunneling feature license per GigaSMART module;Initial Gigamon Pass-through Support Type with Enhanced Support Level (8-5,M-F/AHR), bought with product or within 1 year of original purchase of product. Perpetual</t>
  </si>
  <si>
    <t>SMT-HC3-AT1-ENH</t>
  </si>
  <si>
    <t>4056-2-1939</t>
  </si>
  <si>
    <t>GigaSMART, GigaVUE-HC3, FlowVUE feature license per GigaSMART module;Initial Gigamon Pass-through Support Type with Enhanced Support Level (8-5,M-F/AHR), bought with product or within 1 year of original purchase of product. Perpetual</t>
  </si>
  <si>
    <t>SMT-HC3-FVU-ENH</t>
  </si>
  <si>
    <t>4056-2-1940</t>
  </si>
  <si>
    <t>GigaSMART, GigaVUE-HC3, Adaptive Packet Filtering feature license per GigaSMART module;Initial Gigamon Pass-through Support Type with Enhanced Support Level (8-5,M-F/AHR), bought with product or within 1 year of original purchase of product. Perpetual</t>
  </si>
  <si>
    <t>SMT-HC3-APF-ENH</t>
  </si>
  <si>
    <t>4056-2-1941</t>
  </si>
  <si>
    <t>GigaSMART, GigaVUE-HC3, Application Session Filtering feature license per GigaSMART module; requires SMT-HC3-APF;Initial Gigamon Pass-through Support Type with Enhanced Support Level (8-5,M-F/AHR), bought with product or within 1 year of original purchas</t>
  </si>
  <si>
    <t>SMT-HC3-ASF-ENH</t>
  </si>
  <si>
    <t>4056-2-1942</t>
  </si>
  <si>
    <t>GigaSMART, GigaVUE-HC3, NetFlow Generation feature license per GigaSMART module;Initial Gigamon Pass-through Support Type with Enhanced Support Level (8-5,M-F/AHR), bought with product or within 1 year of original purchase of product. Perpetual</t>
  </si>
  <si>
    <t>SMT-HC3-NF1-ENH</t>
  </si>
  <si>
    <t>4056-2-1943</t>
  </si>
  <si>
    <t>GigaSMART, GigaVUE-HC3, SSL Decryption for Out of Band Tools Feature License per GigaSMART module;Initial Gigamon Pass-through Support Type with Enhanced Support Level (8-5,M-F/AHR), bought with product or within 1 year of original purchase of product. P</t>
  </si>
  <si>
    <t>SMT-HC3-SSL-ENH</t>
  </si>
  <si>
    <t>4056-2-1944</t>
  </si>
  <si>
    <t>GigaSMART, GigaVUE-HC3, GTP Filtering &amp; Correlation feature license per GigaSMART module, Maximum subscribers;Initial Gigamon Pass-through Support Type with Enhanced Support Level (8-5,M-F/AHR), bought with product or within 1 year of original purchase o</t>
  </si>
  <si>
    <t>SMT-HC3-GTPMAX-ENH</t>
  </si>
  <si>
    <t>4056-2-1945</t>
  </si>
  <si>
    <t>GigaVUE-HD4 base unit w/ chassis, Version 2 Control Card, Fans, CLI, AC power;Initial Gigamon Pass-through Support Type with Enhanced Support Level (8-5,M-F/AHR), bought with product or within 1 year of original purchase of product</t>
  </si>
  <si>
    <t>GVS-HD4A1-ENH</t>
  </si>
  <si>
    <t>4056-2-1946</t>
  </si>
  <si>
    <t>GigaVUE-HD4 base unit w/ chassis, Version 2 Control Card, Fans, CLI, DC power;Initial Gigamon Pass-through Support Type with Enhanced Support Level (8-5,M-F/AHR), bought with product or within 1 year of original purchase of product</t>
  </si>
  <si>
    <t>GVS-HD4A2-ENH</t>
  </si>
  <si>
    <t>4056-2-1947</t>
  </si>
  <si>
    <t>GigaVUE-HD8 base unit w/ chassis, 2 Version 2 Control Cards, Fans, CLI, AC power;Initial Gigamon Pass-through Support Type with Enhanced Support Level (8-5,M-F/AHR), bought with product or within 1 year of original purchase of product</t>
  </si>
  <si>
    <t>GVS-HD8A1-ENH</t>
  </si>
  <si>
    <t>4056-2-1948</t>
  </si>
  <si>
    <t>GigaVUE-HD8 base unit w/ chassis, 2 Version 2 Control Cards, Fans, CLI, DC power;Initial Gigamon Pass-through Support Type with Enhanced Support Level (8-5,M-F/AHR), bought with product or within 1 year of original purchase of product</t>
  </si>
  <si>
    <t>GVS-HD8A2-ENH</t>
  </si>
  <si>
    <t>4056-2-1949</t>
  </si>
  <si>
    <t>Port Blade, HD Series, 12x10G 4x1G ;Initial Gigamon Pass-through Support Type with Enhanced Support Level (8-5,M-F/AHR), bought with product or within 1 year of original purchase of product</t>
  </si>
  <si>
    <t>PRT-H00-X12G04-ENH</t>
  </si>
  <si>
    <t>4056-2-1950</t>
  </si>
  <si>
    <t>Port Blade, HD Series, 12x10G Time Stamp ;Initial Gigamon Pass-through Support Type with Enhanced Support Level (8-5,M-F/AHR), bought with product or within 1 year of original purchase of product</t>
  </si>
  <si>
    <t>PRT-H00-X12TS-ENH</t>
  </si>
  <si>
    <t>4056-2-1951</t>
  </si>
  <si>
    <t>Port Blade, HD Series, 4x10G 44x1G ;Initial Gigamon Pass-through Support Type with Enhanced Support Level (8-5,M-F/AHR), bought with product or within 1 year of original purchase of product</t>
  </si>
  <si>
    <t>PRT-H00-X04G44-ENH</t>
  </si>
  <si>
    <t>4056-2-1952</t>
  </si>
  <si>
    <t>Port Blade, HD Series, 2x40G 32x10G (24 10G + 2 40G or 32 10G active);Initial Gigamon Pass-through Support Type with Enhanced Support Level (8-5,M-F/AHR), bought with product or within 1 year of original purchase of product</t>
  </si>
  <si>
    <t>PRT-H00-Q02X32-ENH</t>
  </si>
  <si>
    <t>4056-2-1953</t>
  </si>
  <si>
    <t>Port Blade, HD Series, 8x40G;Initial Gigamon Pass-through Support Type with Enhanced Support Level (8-5,M-F/AHR), bought with product or within 1 year of original purchase of product</t>
  </si>
  <si>
    <t>PRT-HD0-Q08-ENH</t>
  </si>
  <si>
    <t>4056-2-1954</t>
  </si>
  <si>
    <t>Port Blade, HD Series, 1x100G;Initial Gigamon Pass-through Support Type with Enhanced Support Level (8-5,M-F/AHR), bought with product or within 1 year of original purchase of product</t>
  </si>
  <si>
    <t>PRT-HD0-C01-ENH</t>
  </si>
  <si>
    <t>4056-2-1955</t>
  </si>
  <si>
    <t>Port Blade, HD Series, 2x100G CFP cages + 8x10G cages;Initial Gigamon Pass-through Support Type with Enhanced Support Level (8-5,M-F/AHR), bought with product or within 1 year of original purchase of product</t>
  </si>
  <si>
    <t>PRT-HD0-C02X08-ENH</t>
  </si>
  <si>
    <t>4056-2-1956</t>
  </si>
  <si>
    <t>Port Blade, HD Series, 2x100G CFP2 cages + 8x10G cages;Initial Gigamon Pass-through Support Type with Enhanced Support Level (8-5,M-F/AHR), bought with product or within 1 year of original purchase of product</t>
  </si>
  <si>
    <t>PRT-HD0-C02X08A-ENH</t>
  </si>
  <si>
    <t>4056-2-1957</t>
  </si>
  <si>
    <t>Port Blade, HD Series, 6x100G QSFP28 cages + 24x10G cages;Initial Gigamon Pass-through Support Type with Enhanced Support Level (8-5,M-F/AHR), bought with product or within 1 year of original purchase of product</t>
  </si>
  <si>
    <t>PRT-HD0-C06X24-ENH</t>
  </si>
  <si>
    <t>4056-2-1958</t>
  </si>
  <si>
    <t>GigaSMART, HD Series blade (includes Slicing, Masking, Source Port &amp; GigaVUE Tunneling De-Encapsulation SW) ;Initial Gigamon Pass-through Support Type with Enhanced Support Level (8-5,M-F/AHR), bought with product or within 1 year of origin. Perpetual</t>
  </si>
  <si>
    <t>SMT-HD0-ENH</t>
  </si>
  <si>
    <t>4056-2-1959</t>
  </si>
  <si>
    <t>GigaSMART, HD Series, SSL Decryption for Out of Band Tools Feature License per GigaSMART module;Initial Gigamon Pass-through Support Type with Enhanced Support Level (8-5,M-F/AHR), bought with product or within 1 year of original purchase of product. Per</t>
  </si>
  <si>
    <t>SMT-HD0-SSL-ENH</t>
  </si>
  <si>
    <t>4056-2-1960</t>
  </si>
  <si>
    <t>GigaSMART, HD Series, De-Duplication feature license per GigaSMART blade ;Initial Gigamon Pass-through Support Type with Enhanced Support Level (8-5,M-F/AHR), bought with product or within 1 year of original purchase. Perpetual</t>
  </si>
  <si>
    <t>SMT-HD0-DD1-ENH</t>
  </si>
  <si>
    <t>4056-2-1961</t>
  </si>
  <si>
    <t>GigaSMART, HD Series, Header Stripping feature license per GigaSMART blade ;Initial Gigamon Pass-through Support Type with Enhanced Support Level (8-5,M-F/AHR), bought with product or within 1 year of original purchase of product. Perpetual</t>
  </si>
  <si>
    <t>SMT-HD0-HS1-ENH</t>
  </si>
  <si>
    <t>4056-2-1962</t>
  </si>
  <si>
    <t>GigaSMART, HD Series, Advanced Tunneling feature license per GigaSMART blade ;Initial Gigamon Pass-through Support Type with Enhanced Support Level (8-5,M-F/AHR), bought with product or within 1 year of original purchase of product. Perpetual</t>
  </si>
  <si>
    <t>SMT-HD0-AT1-ENH</t>
  </si>
  <si>
    <t>4056-2-1963</t>
  </si>
  <si>
    <t>GigaSMART, HD Series, FlowVUE feature license per GigaSMART blade;Initial Gigamon Pass-through Support Type with Enhanced Support Level (8-5,M-F/AHR), bought with product or within 1 year of original purchase of product. Perpetual</t>
  </si>
  <si>
    <t>SMT-HD0-FVU-ENH</t>
  </si>
  <si>
    <t>4056-2-1964</t>
  </si>
  <si>
    <t>GigaSMART, HD Series, Adaptive Packet Filtering feature license per GigaSMART blade;Initial Gigamon Pass-through Support Type with Enhanced Support Level (8-5,M-F/AHR), bought with product or within 1 year of original purchase of product. Perpetual</t>
  </si>
  <si>
    <t>SMT-HD0-APF-ENH</t>
  </si>
  <si>
    <t>4056-2-1965</t>
  </si>
  <si>
    <t>GigaSMART, HD Series, Application Session Filtering feature license per GigaSMART blade; requires SMT-HD0-APF;Initial Gigamon Pass-through Support Type with Enhanced Support Level (8-5,M-F/AHR), bought with product or within 1 year of original purchase o</t>
  </si>
  <si>
    <t>SMT-HD0-ASF-ENH</t>
  </si>
  <si>
    <t>4056-2-1966</t>
  </si>
  <si>
    <t>GigaSMART, HD Series, GTP Filtering &amp; Correlation feature license per GigaSMART blade, 250K subscribers;Initial Gigamon Pass-through Support Type with Enhanced Support Level (8-5,M-F/AHR), bought with product or within 1 year of original purchase of prod</t>
  </si>
  <si>
    <t>SMT-HD0-GTP250-ENH</t>
  </si>
  <si>
    <t>4056-2-1967</t>
  </si>
  <si>
    <t>GigaSMART, HD Series, GTP Filtering &amp; Correlation feature license per GigaSMART blade, 500K subscribers;Initial Gigamon Pass-through Support Type with Enhanced Support Level (8-5,M-F/AHR), bought with product or within 1 year of original purchase of prod</t>
  </si>
  <si>
    <t>SMT-HD0-GTP500-ENH</t>
  </si>
  <si>
    <t>4056-2-1968</t>
  </si>
  <si>
    <t>GigaSMART, HD Series, GTP Filtering &amp; Correlation feature license per GigaSMART blade, Maximum subscribers;Initial Gigamon Pass-through Support Type with Enhanced Support Level (8-5,M-F/AHR), bought with product or within 1 year of original purchase of p</t>
  </si>
  <si>
    <t>SMT-HD0-GTPMAX-ENH</t>
  </si>
  <si>
    <t>4056-2-1969</t>
  </si>
  <si>
    <t>GigaSMART, HD Series, NetFlow Generation feature license per GigaSMART blade;Initial Gigamon Pass-through Support Type with Enhanced Support Level (8-5,M-F/AHR), bought with product or within 1 year of original purchase of product. Perpetual</t>
  </si>
  <si>
    <t>SMT-HD0-NF1-ENH</t>
  </si>
  <si>
    <t>4056-2-1970</t>
  </si>
  <si>
    <t>G-TAP A Series, Always On copper TAP, No Power;Initial Gigamon Pass-through Support Type with Enhanced Support Level (8-5,M-F/AHR), bought with product or within 1 year of original purchase of product</t>
  </si>
  <si>
    <t>GTP-ATX00-ENH</t>
  </si>
  <si>
    <t>4056-2-1971</t>
  </si>
  <si>
    <t>G-TAP A Series, Always On copper TAP, AC Power (US Plug) ;Initial Gigamon Pass-through Support Type with Enhanced Support Level (8-5,M-F/AHR), bought with product or within 1 year of original purchase of product</t>
  </si>
  <si>
    <t>GTP-ATX01-ENH</t>
  </si>
  <si>
    <t>4056-2-1972</t>
  </si>
  <si>
    <t>G-TAP A Series, Always On copper TAP, DC Power;Initial Gigamon Pass-through Support Type with Enhanced Support Level (8-5,M-F/AHR), bought with product or within 1 year of original purchase of product</t>
  </si>
  <si>
    <t>GTP-ATX02-ENH</t>
  </si>
  <si>
    <t>4056-2-1973</t>
  </si>
  <si>
    <t>G-TAP A Series, Always On SFP/SFP+ TAP, No Power;Initial Gigamon Pass-through Support Type with Enhanced Support Level (8-5,M-F/AHR), bought with product or within 1 year of original purchase of product</t>
  </si>
  <si>
    <t>GTP-ASF00-ENH</t>
  </si>
  <si>
    <t>4056-2-1974</t>
  </si>
  <si>
    <t>G-TAP A Series, Always On SFP/SFP+ TAP, AC Power (US Plug);Initial Gigamon Pass-through Support Type with Enhanced Support Level (8-5,M-F/AHR), bought with product or within 1 year of original purchase of product</t>
  </si>
  <si>
    <t>GTP-ASF01-ENH</t>
  </si>
  <si>
    <t>4056-2-1975</t>
  </si>
  <si>
    <t>G-TAP A Series, Always On SFP/SFP+ TAP, DC Power;Initial Gigamon Pass-through Support Type with Enhanced Support Level (8-5,M-F/AHR), bought with product or within 1 year of original purchase of product</t>
  </si>
  <si>
    <t>GTP-ASF02-ENH</t>
  </si>
  <si>
    <t>4056-2-1976</t>
  </si>
  <si>
    <t>Monthly Term license for traffic visibility up to 100 virtual TAP Points in AWS. Min Term is 3 months with a max of 12 months. Includes Premium Support;Initial Gigamon Pass-through Support Type with Enhanced Support Level (8-5,M-F/AHR), bought with produ</t>
  </si>
  <si>
    <t>GFM-AWS-100-ENH</t>
  </si>
  <si>
    <t>4056-2-1977</t>
  </si>
  <si>
    <t>Monthly Term license for traffic visibility up to 1000 virtual TAP Points in AWS. Min Term is 3 months with a max of 12 months. Includes Premium Support;Initial Gigamon Pass-through Support Type with Enhanced Support Level (8-5,M-F/AHR), bought with prod</t>
  </si>
  <si>
    <t>GFM-AWS-1000-ENH</t>
  </si>
  <si>
    <t>4056-2-1978</t>
  </si>
  <si>
    <t>GigaVUE-FM Hardware Appliance, manages up to 10 Physical Visibility Fabric Nodes;Initial Gigamon Pass-through Support Type with Enhanced Support Level (8-5,M-F/AHR), bought with product or within 1 year of original purchase of product</t>
  </si>
  <si>
    <t>GFM-HW0-FM010-ENH</t>
  </si>
  <si>
    <t>4056-2-1979</t>
  </si>
  <si>
    <t>GigaVUE-FM, manage up to 5 Physical Visibility Fabric Nodes ;Initial Gigamon Pass-through Support Type with Enhanced Support Level (8-5,M-F/AHR), bought with product or within 1 year of original purchase of product. Perpetual</t>
  </si>
  <si>
    <t>GFM-FM005-ENH</t>
  </si>
  <si>
    <t>4056-2-1980</t>
  </si>
  <si>
    <t>GigaVUE-FM, manage up to 10 Physical Visibility Fabric Nodes;Initial Gigamon Pass-through Support Type with Enhanced Support Level (8-5,M-F/AHR), bought with product or within 1 year of original purchase of product. Perpetual</t>
  </si>
  <si>
    <t>GFM-FM010-ENH</t>
  </si>
  <si>
    <t>4056-2-1981</t>
  </si>
  <si>
    <t>GigaVUE-FM Prime Edition, manage up to 200 Physical Visibility Fabric Nodes, includes FabricVUE Traffic Analyzer (GFM-FM-FTA) and VMware NSX Manager Integration (GFM-VM-NSX) add-ons;Initial Gigamon Pass-through Support Type with Enhanced Support Level (8</t>
  </si>
  <si>
    <t>GFM-FM000-ENH</t>
  </si>
  <si>
    <t>4056-2-1982</t>
  </si>
  <si>
    <t>GigaVUE-FM FabricVUE Traffic Analyzer, optional add-on for GFM-FM005 and GFM-FM010 licenses ;Initial Gigamon Pass-through Support Type with Enhanced Support Level (8-5,M-F/AHR), bought with product or within 1 year of original purchase of product. Perpet</t>
  </si>
  <si>
    <t>GFM-FM-FTA-ENH</t>
  </si>
  <si>
    <t>4056-2-1983</t>
  </si>
  <si>
    <t>GigaVUE-FM add-on for VMware NSX Manager Integration, optional add-on for GFM-FM005 and GFM-FM010 licenses;Initial Gigamon Pass-through Support Type with Enhanced Support Level (8-5,M-F/AHR), bought with product or within 1 year of original purchase of p</t>
  </si>
  <si>
    <t>GFM-VM-NSX-ENH</t>
  </si>
  <si>
    <t>4056-2-1984</t>
  </si>
  <si>
    <t>GigaVUE-FM Upgrade from 5-Pack to the 10-Pack Edition ;Initial Gigamon Pass-through Support Type with Enhanced Support Level (8-5,M-F/AHR), bought with product or within 1 year of original purchase of product. Perpetual</t>
  </si>
  <si>
    <t>GFM-UPG-510-ENH</t>
  </si>
  <si>
    <t>4056-2-1985</t>
  </si>
  <si>
    <t>GigaVUE-FM Upgrade from 5-Pack to the Prime Edition, includes FabricVUE Traffic Analyzer (GFM-FM-FTA) and VMware NSX Manager Integration (GFM-VM-NSX) add ons;Initial Gigamon Pass-through Support Type with Enhanced Support Level (8-5,M-F/AHR), bought with</t>
  </si>
  <si>
    <t>GFM-UPG-5P-ENH</t>
  </si>
  <si>
    <t>4056-2-1986</t>
  </si>
  <si>
    <t>GigaVUE-FM Upgrade from 10-Pack license to the Prime Edition for either Software only or Hardware Appliance, includes FabricVUE Traffic Analyzer (GFM-FM-FTA) and VMware NSX Manager Integration (GFM-VM-NSX) add ons;Initial Gigamon Pass-through Support Typ</t>
  </si>
  <si>
    <t>GFM-UPG-10P-ENH</t>
  </si>
  <si>
    <t>4056-2-1987</t>
  </si>
  <si>
    <t>GigaVUE-VM 10 Pack Bundle SW License Extension;Initial Gigamon Pass-through Support Type with Enhanced Support Level (8-5,M-F/AHR), bought with product or within 1 year of original purchase of product. Perpetual</t>
  </si>
  <si>
    <t>GFM-VM010-ENH</t>
  </si>
  <si>
    <t>4056-2-1988</t>
  </si>
  <si>
    <t>GigaVUE-VM 50 Pack Bundle SW License Extension;Initial Gigamon Pass-through Support Type with Enhanced Support Level (8-5,M-F/AHR), bought with product or within 1 year of original purchase of product. Perpetual</t>
  </si>
  <si>
    <t>GFM-VM050-ENH</t>
  </si>
  <si>
    <t>4056-2-1989</t>
  </si>
  <si>
    <t>GigaVUE-VM 100 Pack Bundle SW License Extension;Initial Gigamon Pass-through Support Type with Enhanced Support Level (8-5,M-F/AHR), bought with product or within 1 year of original purchase of product. Perpetual</t>
  </si>
  <si>
    <t>GFM-VM100-ENH</t>
  </si>
  <si>
    <t>4056-2-1990</t>
  </si>
  <si>
    <t>GigaVUE-VM 250 Pack Bundle SW License Extension;Initial Gigamon Pass-through Support Type with Enhanced Support Level (8-5,M-F/AHR), bought with product or within 1 year of original purchase of product. Perpetual</t>
  </si>
  <si>
    <t>GFM-VM250-ENH</t>
  </si>
  <si>
    <t>4056-2-1991</t>
  </si>
  <si>
    <t>GigaVUE-VM 1000 Pack Bundle SW License Extension;Initial Gigamon Pass-through Support Type with Enhanced Support Level (8-5,M-F/AHR), bought with product or within 1 year of original purchase of product. Perpetual</t>
  </si>
  <si>
    <t>GFM-VM1000-ENH</t>
  </si>
  <si>
    <t>4056-2-1992</t>
  </si>
  <si>
    <t>Virtual Monitoring in OpenStack deployments for up to 100 virtual tap points. A 'virtual tap point' is any end point that can be tapped, for ex., a vNIC in a VM. ;Initial Gigamon Pass-through Support Type with Enhanced Support Level (8-5,M-F/AHR), bought</t>
  </si>
  <si>
    <t>GFM-VTAP-100-ENH</t>
  </si>
  <si>
    <t>4056-2-1993</t>
  </si>
  <si>
    <t>Virtual Monitoring in OpenStack deployments for up to 250 virtual tap points. A 'virtual tap point' is any end point that can be tapped, for ex., a vNIC in a VM.;Initial Gigamon Pass-through Support Type with Enhanced Support Level (8-5,M-F/AHR), bought.</t>
  </si>
  <si>
    <t>GFM-VTAP-250-ENH</t>
  </si>
  <si>
    <t>4056-2-1994</t>
  </si>
  <si>
    <t>Virtual Monitoring in OpenStack deployments for up to 1000 virtual tap points. A 'virtual tap point' is any end point that can be tapped, for ex., a vNIC in a VM.;Initial Gigamon Pass-through Support Type with Enhanced Support Level (8-5,M-F/AHR), bought</t>
  </si>
  <si>
    <t>GFM-VTAP-1000-ENH</t>
  </si>
  <si>
    <t>4056-2-1995</t>
  </si>
  <si>
    <t>GigaVUE-TA10 edge node, 4 40G cages + 48 10G cages, 2 power supplies, 2 Fan trays, AC power; Initial Gigamon Pass-through Support Type with ELITE Support Level (24x7/AHR), bought with product or within 1 year of original purchase of product</t>
  </si>
  <si>
    <t>GVS-TAX01-ELT</t>
  </si>
  <si>
    <t>4056-2-1996</t>
  </si>
  <si>
    <t>GigaVUE-TA10 edge node, 4 40G cages + 48 10G cages, 2 power supplies, 2 Fan trays, DC power; Initial Gigamon Pass-through Support Type with ELITE Support Level (24x7/AHR), bought with product or within 1 year of original purchase of product</t>
  </si>
  <si>
    <t>GVS-TAX02-ELT</t>
  </si>
  <si>
    <t>4056-2-1997</t>
  </si>
  <si>
    <t>GigaVUE-TA10 edge node, 24 10G ports enabled, 2 power supplies, 2 Fan trays, AC power; Initial Gigamon Pass-through Support Type with ELITE Support Level (24x7/AHR), bought with product or within 1 year of original purchase of product</t>
  </si>
  <si>
    <t>GVS-TAX01A-ELT</t>
  </si>
  <si>
    <t>4056-2-1998</t>
  </si>
  <si>
    <t>GigaVUE-TA10 edge node, 24 10G ports enabled, 2 power supplies, 2 Fan trays, DC power; Initial Gigamon Pass-through Support Type with ELITE Support Level (24x7/AHR), bought with product or within 1 year of original purchase of product</t>
  </si>
  <si>
    <t>GVS-TAX02A-ELT</t>
  </si>
  <si>
    <t>4056-2-1999</t>
  </si>
  <si>
    <t>GigaVUE-TA40 edge node, 32 40G cages, 2 power supplies, 3 fan trays, AC power; Initial Gigamon Pass-through Support Type with ELITE Support Level (24x7/AHR), bought with product or within 1 year of original purchase of product</t>
  </si>
  <si>
    <t>GVS-TAQ01-ELT</t>
  </si>
  <si>
    <t>4056-2-2000</t>
  </si>
  <si>
    <t>GigaVUE-TA40 edge node, 32 40G cages, 2 power supplies, 3 fan trays, DC power; Initial Gigamon Pass-through Support Type with ELITE Support Level (24x7/AHR), bought with product or within 1 year of original purchase of product</t>
  </si>
  <si>
    <t>GVS-TAQ02-ELT</t>
  </si>
  <si>
    <t>4056-2-2001</t>
  </si>
  <si>
    <t>GigaVUE-TA100 edge node, 32 100G cages, 2 power supplies, 3 fan trays, AC power; 16 ports enabled; Initial Gigamon Pass-through Support Type with ELITE Support Level (24x7/AHR), bought with product or within 1 year of original purchase of product</t>
  </si>
  <si>
    <t>GVS-TAC01-ELT</t>
  </si>
  <si>
    <t>4056-2-2002</t>
  </si>
  <si>
    <t>GigaVUE-TA100 edge node, 32 100G cages, 2 power supplies, 3 fan trays, DC power; 16 ports enabled; Initial Gigamon Pass-through Support Type with ELITE Support Level (24x7/AHR), bought with product or within 1 year of original purchase of product</t>
  </si>
  <si>
    <t>GVS-TAC02-ELT</t>
  </si>
  <si>
    <t>4056-2-2003</t>
  </si>
  <si>
    <t>GigaVUE-TA100 edge node, 20 100G CXP cages, 8 QSFP28 cages, 2 power supplies, 3 fan trays, AC power, all ports enabled; Initial Gigamon Pass-through Support Type with ELITE Support Level (24x7/AHR), bought with product or within 1 year of original purcha</t>
  </si>
  <si>
    <t>GVS-TACX1-ELT</t>
  </si>
  <si>
    <t>4056-2-2004</t>
  </si>
  <si>
    <t>GigaVUE-TA100 edge node, 20 100G CXP cages, 8 QSFP28 cages, 2 power supplies, 3 fan trays, DC power, all ports enabled; Initial Gigamon Pass-through Support Type with ELITE Support Level (24x7/AHR), bought with product or within 1 year of original purcha</t>
  </si>
  <si>
    <t>GVS-TACX2-ELT</t>
  </si>
  <si>
    <t>4056-2-2005</t>
  </si>
  <si>
    <t>GigaVUE-OS SW license for certified 10G-based white box edge hardware, perpetual license, Premium Support required; Initial Gigamon Pass-through Support Type with ELITE Support Level (24x7/AHR), bought with product or within 1 year of original purchase o</t>
  </si>
  <si>
    <t>GSW-WBX00-ELT</t>
  </si>
  <si>
    <t>4056-2-2006</t>
  </si>
  <si>
    <t>Upgrade option to enable all GigaVUE-TA1 ports (48 10G + 4 40G); Initial Gigamon Pass-through Support Type with ELITE Support Level (24x7/AHR), bought with product or within 1 year of original purchase of product. Perpetual</t>
  </si>
  <si>
    <t>UPG-TA100-ELT</t>
  </si>
  <si>
    <t>4056-2-2007</t>
  </si>
  <si>
    <t>Upgrade option for GVS-TAX01A/TAX02A to enable all GigaVUE-TA10 ports (48 10G + 4 40G); Initial Gigamon Pass-through Support Type with ELITE Support Level (24x7/AHR), bought with product or within 1 year of original purchase of product. Perpetual</t>
  </si>
  <si>
    <t>UPG-TAX00-ELT</t>
  </si>
  <si>
    <t>4056-2-2008</t>
  </si>
  <si>
    <t>Upgrade option to enable 24 GigaVUE-TA100 ports (24 100G); Initial Gigamon Pass-through Support Type with ELITE Support Level (24x7/AHR), bought with product or within 1 year of original purchase of product. Perpetual</t>
  </si>
  <si>
    <t>UPG-TAC24-ELT</t>
  </si>
  <si>
    <t>4056-2-2009</t>
  </si>
  <si>
    <t>Upgrade option to enable 32 GigaVUE-TA100 ports (32 100G); requires UPG-TAC24; Initial Gigamon Pass-through Support Type with ELITE Support Level (24x7/AHR), bought with product or within 1 year of original purchase of product. Perpetual</t>
  </si>
  <si>
    <t>UPG-TAC32-ELT</t>
  </si>
  <si>
    <t>4056-2-2010</t>
  </si>
  <si>
    <t>Clustering, GigaVUE-TA1/10 and 10G Whitebox, Feature license per node; Initial Gigamon Pass-through Support Type with ELITE Support Level (24x7/AHR), bought with product or within 1 year of original purchase of product. Perpetual</t>
  </si>
  <si>
    <t>CLS-TA100-ELT</t>
  </si>
  <si>
    <t>4056-2-2011</t>
  </si>
  <si>
    <t>Clustering, GigaVUE-TA40, Feature license per node; Initial Gigamon Pass-through Support Type with ELITE Support Level (24x7/AHR), bought with product or within 1 year of original purchase of product. Perpetual</t>
  </si>
  <si>
    <t>CLS-TAQ00-ELT</t>
  </si>
  <si>
    <t>4056-2-2012</t>
  </si>
  <si>
    <t>Clustering, GigaVUE-TA100, Feature license per node, 40G only; Initial Gigamon Pass-through Support Type with ELITE Support Level (24x7/AHR), bought with product or within 1 year of original purchase of product. Perpetual</t>
  </si>
  <si>
    <t>CLS-TAC00-ELT</t>
  </si>
  <si>
    <t>4056-2-2013</t>
  </si>
  <si>
    <t>GigaVUE-HB1-0416 branch node, 4 10G cages, 8 1G cages, 8 1G copper, 2 Fan Trays, Single AC power ; Initial Gigamon Pass-through Support Type with ELITE Support Level (24x7/AHR), bought with product or within 1 year of original purchase of product</t>
  </si>
  <si>
    <t>GVS-HB101-0416-ELT</t>
  </si>
  <si>
    <t>4056-2-2014</t>
  </si>
  <si>
    <t>GigaVUE-HB1-0416 branch node, 4 10G cages, 8 1G cages, 8 1G copper, 2 Fan Trays, Single DC power ; Initial Gigamon Pass-through Support Type with ELITE Support Level (24x7/AHR), bought with product or within 1 year of original purchase of product</t>
  </si>
  <si>
    <t>GVS-HB102-0416-ELT</t>
  </si>
  <si>
    <t>4056-2-2015</t>
  </si>
  <si>
    <t>GigaSMART, HB license combo, includes Slicing, Masking, &amp; Source Port features ; Initial Gigamon Pass-through Support Type with ELITE Support Level (24x7/AHR), bought with product or within 1 year of original purchase of product. Perpetual</t>
  </si>
  <si>
    <t>SMT-HB1-BSE-ELT</t>
  </si>
  <si>
    <t>4056-2-2016</t>
  </si>
  <si>
    <t>GigaSMART, HB license, De-Duplication feature ; Initial Gigamon Pass-through Support Type with ELITE Support Level (24x7/AHR), bought with product or within 1 year of original purchase of product. Perpetual</t>
  </si>
  <si>
    <t>SMT-HB1-DD1-ELT</t>
  </si>
  <si>
    <t>4056-2-2017</t>
  </si>
  <si>
    <t>GigaSMART, HB license, Header Stripping feature; Initial Gigamon Pass-through Support Type with ELITE Support Level (24x7/AHR), bought with product or within 1 year of original purchase of product. Perpetual</t>
  </si>
  <si>
    <t>SMT-HB1-HS1-ELT</t>
  </si>
  <si>
    <t>4056-2-2018</t>
  </si>
  <si>
    <t>GigaSMART, HB license, Tunneling feature (includes ERSPAN De-Encapsulation); Initial Gigamon Pass-through Support Type with ELITE Support Level (24x7/AHR), bought with product or within 1 year of original purchase of product. Perpetual</t>
  </si>
  <si>
    <t>SMT-HB1-TUN-ELT</t>
  </si>
  <si>
    <t>4056-2-2019</t>
  </si>
  <si>
    <t>GigaSMART, HB license, Adaptive Packet Filtering feature ; Initial Gigamon Pass-through Support Type with ELITE Support Level (24x7/AHR), bought with product or within 1 year of original purchase of product. Perpetual</t>
  </si>
  <si>
    <t>SMT-HB0-APF-ELT</t>
  </si>
  <si>
    <t>4056-2-2020</t>
  </si>
  <si>
    <t>GigaSMART, HB license, Application Session Filtering feature; requires SMT-HB0-APF ; Initial Gigamon Pass-through Support Type with ELITE Support Level (24x7/AHR), bought with product or within 1 year of original purchase of product. Perpetual</t>
  </si>
  <si>
    <t>SMT-HB0-ASF-ELT</t>
  </si>
  <si>
    <t>4056-2-2021</t>
  </si>
  <si>
    <t>GigaSMART, HB License, SSL Decryption for Out of Band Tools Feature; Initial Gigamon Pass-through Support Type with ELITE Support Level (24x7/AHR), bought with product or within 1 year of original purchase of product. Perpetual</t>
  </si>
  <si>
    <t>SMT-HB0-SSL-ELT</t>
  </si>
  <si>
    <t>4056-2-2022</t>
  </si>
  <si>
    <t>GigaSMART, HB license, GTP Filtering &amp; Correlation feature, 250K subscribers; Initial Gigamon Pass-through Support Type with ELITE Support Level (24x7/AHR), bought with product or within 1 year of original purchase of product. Perpetual</t>
  </si>
  <si>
    <t>SMT-HB0-GTP250-ELT</t>
  </si>
  <si>
    <t>4056-2-2023</t>
  </si>
  <si>
    <t>GigaSMART, HB license, FlowVUE feature; Initial Gigamon Pass-through Support Type with ELITE Support Level (24x7/AHR), bought with product or within 1 year of original purchase of product. Perpetual</t>
  </si>
  <si>
    <t>SMT-HB0-FVU-ELT</t>
  </si>
  <si>
    <t>4056-2-2024</t>
  </si>
  <si>
    <t>GigaSMART, HB license, NetFlow Generation feature ; Initial Gigamon Pass-through Support Type with ELITE Support Level (24x7/AHR), bought with product or within 1 year of original purchase of product. Perpetual</t>
  </si>
  <si>
    <t>SMT-HB0-NF1-ELT</t>
  </si>
  <si>
    <t>4056-2-2025</t>
  </si>
  <si>
    <t>GigaVUE-HC1 node, 12 1G/10G cages, 4 10/100/1000M Copper, fan tray, 2 power supplies, AC power; Initial Gigamon Pass-through Support Type with ELITE Support Level (24x7/AHR), bought with product or within 1 year of original purchase of product</t>
  </si>
  <si>
    <t>GVS-HC101-ELT</t>
  </si>
  <si>
    <t>4056-2-2026</t>
  </si>
  <si>
    <t>GigaVUE-HC1 node, 12 1G/10G cages, 4 10/100/1000M Copper, fan tray, 2 power supplies, DC power; Initial Gigamon Pass-through Support Type with ELITE Support Level (24x7/AHR), bought with product or within 1 year of original purchase of product</t>
  </si>
  <si>
    <t>GVS-HC102-ELT</t>
  </si>
  <si>
    <t>4056-2-2027</t>
  </si>
  <si>
    <t>Bypass Combo Module, GigaVUE-HC1, 2 SX/SR 50/125 BPS pairs, 4 10G cages; Initial Gigamon Pass-through Support Type with ELITE Support Level (24x7/AHR), bought with product or within 1 year of original purchase of product</t>
  </si>
  <si>
    <t>BPS-HC1-D25A24-ELT</t>
  </si>
  <si>
    <t>4056-2-2028</t>
  </si>
  <si>
    <t>TAP and Bypass module, GigaVUE-HC1, 10/100/1000M Copper, 4 TAPs or BPC pairs; Initial Gigamon Pass-through Support Type with ELITE Support Level (24x7/AHR), bought with product or within 1 year of original purchase of product</t>
  </si>
  <si>
    <t>TAP-HC1-G10040-ELT</t>
  </si>
  <si>
    <t>4056-2-2029</t>
  </si>
  <si>
    <t>GigaSMART, GigaVUE-HC1 license combo, includes Slicing, Masking, &amp; Source Port features ; Initial Gigamon Pass-through Support Type with ELITE Support Level (24x7/AHR), bought with product or within 1 year of original purchase of product. Perpetual</t>
  </si>
  <si>
    <t>SMT-HC1-BSE-ELT</t>
  </si>
  <si>
    <t>4056-2-2030</t>
  </si>
  <si>
    <t>GigaSMART, GigaVUE-HC1 license, De-Duplication feature; Initial Gigamon Pass-through Support Type with ELITE Support Level (24x7/AHR), bought with product or within 1 year of original purchase of product. Perpetual</t>
  </si>
  <si>
    <t>SMT-HC1-DD1-ELT</t>
  </si>
  <si>
    <t>4056-2-2031</t>
  </si>
  <si>
    <t>GigaSMART, GigaVUE-HC1 license, Header Stripping feature; Initial Gigamon Pass-through Support Type with ELITE Support Level (24x7/AHR), bought with product or within 1 year of original purchase of product. Perpetual</t>
  </si>
  <si>
    <t>SMT-HC1-HS1-ELT</t>
  </si>
  <si>
    <t>4056-2-2032</t>
  </si>
  <si>
    <t>GigaSMART, GigaVUE-HC1 license, Tunneling feature (includes ERSPAN De-Encapsulation); Initial Gigamon Pass-through Support Type with ELITE Support Level (24x7/AHR), bought with product or within 1 year of original purchase of product. Perpetual</t>
  </si>
  <si>
    <t>SMT-HC1-TUN-ELT</t>
  </si>
  <si>
    <t>4056-2-2033</t>
  </si>
  <si>
    <t>GigaSMART, GigaVUE-HC1 license, NetFlow Generation feature ; Initial Gigamon Pass-through Support Type with ELITE Support Level (24x7/AHR), bought with product or within 1 year of original purchase of product. Perpetual</t>
  </si>
  <si>
    <t>SMT-HC1-NF1-ELT</t>
  </si>
  <si>
    <t>4056-2-2034</t>
  </si>
  <si>
    <t>GigaSMART, GigaVUE-HC1 license, FlowVUE feature license; Initial Gigamon Pass-through Support Type with ELITE Support Level (24x7/AHR), bought with product or within 1 year of original purchase of product. Perpetual</t>
  </si>
  <si>
    <t>SMT-HC1-FVU-ELT</t>
  </si>
  <si>
    <t>4056-2-2035</t>
  </si>
  <si>
    <t>GigaSMART, GigaVUE-HC1 license, Adaptive Packet Filtering feature; Initial Gigamon Pass-through Support Type with ELITE Support Level (24x7/AHR), bought with product or within 1 year of original purchase of product. Perpetual</t>
  </si>
  <si>
    <t>SMT-HC1-APF-ELT</t>
  </si>
  <si>
    <t>4056-2-2036</t>
  </si>
  <si>
    <t>GigaSMART, GigaVUE-HC1 license, Application Session Filtering feature license; requires SMT-HC1-APF; Initial Gigamon Pass-through Support Type with ELITE Support Level (24x7/AHR), bought with product or within 1 year of original purchase of product. Perp</t>
  </si>
  <si>
    <t>SMT-HC1-ASF-ELT</t>
  </si>
  <si>
    <t>4056-2-2037</t>
  </si>
  <si>
    <t>GigaSMART, GigaVUE-HC1, SSL Decryption for Out of Band Tools Feature License; Initial Gigamon Pass-through Support Type with ELITE Support Level (24x7/AHR), bought with product or within 1 year of original purchase of product. Perpetual</t>
  </si>
  <si>
    <t>SMT-HC1-SSL-ELT</t>
  </si>
  <si>
    <t>4056-2-2038</t>
  </si>
  <si>
    <t>GigaVUE-HC2 base unit w/ chassis, Control Card, 1 Fan Tray, CLI, 2 power supplies, AC power ; Initial Gigamon Pass-through Support Type with ELITE Support Level (24x7/AHR), bought with product or within 1 year of original purchase of product</t>
  </si>
  <si>
    <t>GVS-HC201-ELT</t>
  </si>
  <si>
    <t>4056-2-2039</t>
  </si>
  <si>
    <t>GigaVUE-HC2 base unit w/ chassis, Control Card, 1 Fan Tray, CLI, 2 power supplies, DC power ; Initial Gigamon Pass-through Support Type with ELITE Support Level (24x7/AHR), bought with product or within 1 year of original purchase of product</t>
  </si>
  <si>
    <t>GVS-HC202-ELT</t>
  </si>
  <si>
    <t>4056-2-2040</t>
  </si>
  <si>
    <t>GigaVUE-HC2 base unit w/ chassis, Control Card Version 2, 1 Fan Tray, CLI, 2 power supplies, AC power ; Initial Gigamon Pass-through Support Type with ELITE Support Level (24x7/AHR), bought with product or within 1 year of original purchase of product</t>
  </si>
  <si>
    <t>GVS-HC2A1-ELT</t>
  </si>
  <si>
    <t>4056-2-2041</t>
  </si>
  <si>
    <t>GigaVUE-HC2 base unit w/ chassis, Control Card Version 2, 1 Fan Tray, CLI, 2 power supplies, DC power ; Initial Gigamon Pass-through Support Type with ELITE Support Level (24x7/AHR), bought with product or within 1 year of original purchase of product</t>
  </si>
  <si>
    <t>GVS-HC2A2-ELT</t>
  </si>
  <si>
    <t>4056-2-2042</t>
  </si>
  <si>
    <t>Bypass Combo Module, GigaVUE-HC2, 4 SX/SR 50/125 BPS pairs, 16 10G cages; Initial Gigamon Pass-through Support Type with ELITE Support Level (24x7/AHR), bought with product or within 1 year of original purchase of product</t>
  </si>
  <si>
    <t>BPS-HC0-D25A4G-ELT</t>
  </si>
  <si>
    <t>4056-2-2043</t>
  </si>
  <si>
    <t>Bypass Combo Module, GigaVUE-HC2, 4 SX/SR 62.5/125 BPS pairs, 16 10G cages; Initial Gigamon Pass-through Support Type with ELITE Support Level (24x7/AHR), bought with product or within 1 year of original purchase of product</t>
  </si>
  <si>
    <t>BPS-HC0-D25B4G-ELT</t>
  </si>
  <si>
    <t>4056-2-2044</t>
  </si>
  <si>
    <t>Bypass Combo Module, GigaVUE-HC2, 4 LX/LR BPS pairs, 16 10G cages; Initial Gigamon Pass-through Support Type with ELITE Support Level (24x7/AHR), bought with product or within 1 year of original purchase of product</t>
  </si>
  <si>
    <t>BPS-HC0-D35C4G-ELT</t>
  </si>
  <si>
    <t>4056-2-2045</t>
  </si>
  <si>
    <t>Bypass Combo Module, GigaVUE-HC2, 2 40G SR4 BPS pairs, 8 10G cages; Initial Gigamon Pass-through Support Type with ELITE Support Level (24x7/AHR), bought with product or within 1 year of original purchase of product</t>
  </si>
  <si>
    <t>BPS-HC0-Q25A28-ELT</t>
  </si>
  <si>
    <t>4056-2-2046</t>
  </si>
  <si>
    <t>Port Module, GigaVUE-HC2, 24x10G; Initial Gigamon Pass-through Support Type with ELITE Support Level (24x7/AHR), bought with product or within 1 year of original purchase of product</t>
  </si>
  <si>
    <t>PRT-HC0-X24-ELT</t>
  </si>
  <si>
    <t>4056-2-2047</t>
  </si>
  <si>
    <t>Port Module, GigaVUE-HC2, 6x40G; Initial Gigamon Pass-through Support Type with ELITE Support Level (24x7/AHR), bought with product or within 1 year of original purchase of product</t>
  </si>
  <si>
    <t>PRT-HC0-Q06-ELT</t>
  </si>
  <si>
    <t>4056-2-2048</t>
  </si>
  <si>
    <t>Port Module, GigaVUE-HC2, 2x100G QSFP28 cages. Requires Control Card Version 2; Initial Gigamon Pass-through Support Type with ELITE Support Level (24x7/AHR), bought with product or within 1 year of original purchase of product</t>
  </si>
  <si>
    <t>PRT-HC0-C02-ELT</t>
  </si>
  <si>
    <t>4056-2-2049</t>
  </si>
  <si>
    <t>GigaSMART, GigaVUE-HC2 rear module (includes Slicing, Masking, Source Port &amp; GigaVUE Tunneling De-Encapsulation SW) ; Initial Gigamon Pass-through Support Type with ELITE Support Level (24x7/AHR), bought with product or within 1 year of ori. Perpetual</t>
  </si>
  <si>
    <t>SMT-HC0-R-ELT</t>
  </si>
  <si>
    <t>4056-2-2050</t>
  </si>
  <si>
    <t>GigaSMART, GigaVUE-HC2, Front Module, 16 10G cages (includes Slicing, Masking, Source Port &amp; GigaVUE Tunneling De-Encapsulation SW); Initial Gigamon Pass-through Support Type with ELITE Support Level (24x7/AHR), bought with product or within 1 year of or</t>
  </si>
  <si>
    <t>SMT-HC0-X16-ELT</t>
  </si>
  <si>
    <t>4056-2-2051</t>
  </si>
  <si>
    <t>GigaSMART, GigaVUE-HC2, De-Duplication feature license per GigaSMART module ; Initial Gigamon Pass-through Support Type with ELITE Support Level (24x7/AHR), bought with product or within 1 year of original purchase of product. Perpetual</t>
  </si>
  <si>
    <t>SMT-HC0-DD1-ELT</t>
  </si>
  <si>
    <t>4056-2-2052</t>
  </si>
  <si>
    <t>GigaSMART, GigaVUE-HC2, Header Stripping feature license per GigaSMART module; Initial Gigamon Pass-through Support Type with ELITE Support Level (24x7/AHR), bought with product or within 1 year of original purchase of product. Perpetual</t>
  </si>
  <si>
    <t>SMT-HC0-HS1-ELT</t>
  </si>
  <si>
    <t>4056-2-2053</t>
  </si>
  <si>
    <t>GigaSMART, GigaVUE-HC2, Advanced Tunneling feature license per GigaSMART module; Initial Gigamon Pass-through Support Type with ELITE Support Level (24x7/AHR), bought with product or within 1 year of original purchase of product. Perpetual</t>
  </si>
  <si>
    <t>SMT-HC0-AT1-ELT</t>
  </si>
  <si>
    <t>4056-2-2054</t>
  </si>
  <si>
    <t>GigaSMART, GigaVUE-HC2, FlowVUE feature license per GigaSMART module; Initial Gigamon Pass-through Support Type with ELITE Support Level (24x7/AHR), bought with product or within 1 year of original purchase of product. Perpetual</t>
  </si>
  <si>
    <t>SMT-HC0-FVU-ELT</t>
  </si>
  <si>
    <t>4056-2-2055</t>
  </si>
  <si>
    <t>GigaSMART, GigaVUE-HC2, Adaptive Packet Filtering feature license per GigaSMART module; Initial Gigamon Pass-through Support Type with ELITE Support Level (24x7/AHR), bought with product or within 1 year of original purchase of product. Perpetual</t>
  </si>
  <si>
    <t>SMT-HC0-APF-ELT</t>
  </si>
  <si>
    <t>4056-2-2056</t>
  </si>
  <si>
    <t>GigaSMART, GigaVUE-HC2, Application Session Filtering feature license per GigaSMART module; requires SMT-HC0-APF; Initial Gigamon Pass-through Support Type with ELITE Support Level (24x7/AHR), bought with product or within 1 year of original purchase of.</t>
  </si>
  <si>
    <t>SMT-HC0-ASF-ELT</t>
  </si>
  <si>
    <t>4056-2-2057</t>
  </si>
  <si>
    <t>GigaSMART, GigaVUE-HC2, NetFlow Generation feature license per GigaSMART module; Initial Gigamon Pass-through Support Type with ELITE Support Level (24x7/AHR), bought with product or within 1 year of original purchase of product. Perpetual</t>
  </si>
  <si>
    <t>SMT-HC0-NF1-ELT</t>
  </si>
  <si>
    <t>4056-2-2058</t>
  </si>
  <si>
    <t>GigaSMART, GigaVUE-HC2, SSL Decryption for Out of Band Tools Feature License per GigaSMART module; Initial Gigamon Pass-through Support Type with ELITE Support Level (24x7/AHR), bought with product or within 1 year of original purchase of product. Perpet</t>
  </si>
  <si>
    <t>SMT-HC0-SSL-ELT</t>
  </si>
  <si>
    <t>4056-2-2059</t>
  </si>
  <si>
    <t>GigaSMART, GigaVUE-HC2, SSL Decryption for Inline and Out of Band Tools Feature License per GigaSMART module; Initial Gigamon Pass-through Support Type with ELITE Support Level (24x7/AHR), bought with product or within 1 year of original purchase of prod</t>
  </si>
  <si>
    <t>SMT-HC0-INSSL-ELT</t>
  </si>
  <si>
    <t>4056-2-2060</t>
  </si>
  <si>
    <t>GigaSMART, GigaVUE-HC2, SSL Decryption Upgrade for Inline Tools Feature License per GigaSMART module; Initial Gigamon Pass-through Support Type with ELITE Support Level (24x7/AHR), bought with product or within 1 year of original purchase of product. Per</t>
  </si>
  <si>
    <t>SMT-HC0-UPGINSSL-ELT</t>
  </si>
  <si>
    <t>4056-2-2061</t>
  </si>
  <si>
    <t>GigaSMART, GigaVUE-HC2, GTP Filtering &amp; Correlation feature license per GigaSMART module, 250K subscribers; Initial Gigamon Pass-through Support Type with ELITE Support Level (24x7/AHR), bought with product or within 1 year of original purchase of produc</t>
  </si>
  <si>
    <t>SMT-HC0-GTP250-ELT</t>
  </si>
  <si>
    <t>4056-2-2062</t>
  </si>
  <si>
    <t>GigaSMART, GigaVUE-HC2, GTP Filtering &amp; Correlation feature license per GigaSMART module, 500K subscribers; Initial Gigamon Pass-through Support Type with ELITE Support Level (24x7/AHR), bought with product or within 1 year of original purchase of produc</t>
  </si>
  <si>
    <t>SMT-HC0-GTP500-ELT</t>
  </si>
  <si>
    <t>4056-2-2063</t>
  </si>
  <si>
    <t>GigaSMART, GigaVUE-HC2, GTP Filtering &amp; Correlation feature license per GigaSMART module, Maximum subscribers; Initial Gigamon Pass-through Support Type with ELITE Support Level (24x7/AHR), bought with product or within 1 year of original purchase of pro</t>
  </si>
  <si>
    <t>SMT-HC0-GTPMAX-ELT</t>
  </si>
  <si>
    <t>4056-2-2064</t>
  </si>
  <si>
    <t>TAP module, GigaVUE-HC2, SX/SR Internal TAP Module 50/125, 12 TAPs; Initial Gigamon Pass-through Support Type with ELITE Support Level (24x7/AHR), bought with product or within 1 year of original purchase of product</t>
  </si>
  <si>
    <t>TAP-HC0-D25AC0-ELT</t>
  </si>
  <si>
    <t>4056-2-2065</t>
  </si>
  <si>
    <t>TAP module, GigaVUE-HC2, SX/SR Internal TAP Module 62.5/125, 12 TAPs; Initial Gigamon Pass-through Support Type with ELITE Support Level (24x7/AHR), bought with product or within 1 year of original purchase of product</t>
  </si>
  <si>
    <t>TAP-HC0-D25BC0-ELT</t>
  </si>
  <si>
    <t>4056-2-2066</t>
  </si>
  <si>
    <t>TAP module, GigaVUE-HC2, LX/LR Internal TAP Module, 12 TAPs; Initial Gigamon Pass-through Support Type with ELITE Support Level (24x7/AHR), bought with product or within 1 year of original purchase of product</t>
  </si>
  <si>
    <t>TAP-HC0-D35CC0-ELT</t>
  </si>
  <si>
    <t>4056-2-2067</t>
  </si>
  <si>
    <t>TAP and Bypass module, GigaVUE-HC2, Copper, 12 TAPs or BPS pairs; Initial Gigamon Pass-through Support Type with ELITE Support Level (24x7/AHR), bought with product or within 1 year of original purchase of product</t>
  </si>
  <si>
    <t>TAP-HC0-G100C0-ELT</t>
  </si>
  <si>
    <t>4056-2-2068</t>
  </si>
  <si>
    <t>GigaVUE-HC3 base unit w/ chassis, Control Card, 5 Fan Modules, CLI, 2 power supplies, AC power ; Initial Gigamon Pass-through Support Type with ELITE Support Level (24x7/AHR), bought with product or within 1 year of original purchase of product</t>
  </si>
  <si>
    <t>GVS-HC301-ELT</t>
  </si>
  <si>
    <t>4056-2-2069</t>
  </si>
  <si>
    <t>GigaVUE-HC3 base unit w/ chassis, Control Card, 5 Fan Modules, CLI, 2 power supplies, DC power ; Initial Gigamon Pass-through Support Type with ELITE Support Level (24x7/AHR), bought with product or within 1 year of original purchase of product</t>
  </si>
  <si>
    <t>GVS-HC302-ELT</t>
  </si>
  <si>
    <t>4056-2-2070</t>
  </si>
  <si>
    <t>Port Module, GigaVUE-HC3, 8x100G QSFP28 cages and 8x40G QSFP+ cages; Initial Gigamon Pass-through Support Type with ELITE Support Level (24x7/AHR), bought with product or within 1 year of original purchase of product</t>
  </si>
  <si>
    <t>PRT-HC3-C08Q08-ELT</t>
  </si>
  <si>
    <t>4056-2-2071</t>
  </si>
  <si>
    <t>Port Module, GigaVUE-HC3, 24x10G; Initial Gigamon Pass-through Support Type with ELITE Support Level (24x7/AHR), bought with product or within 1 year of original purchase of product</t>
  </si>
  <si>
    <t>PRT-HC3-X24-ELT</t>
  </si>
  <si>
    <t>4056-2-2072</t>
  </si>
  <si>
    <t>GigaSMART, GigaVUE-HC3, 5x100G QSFP28 cages (includes Slicing, Masking, Source Port &amp; GigaVUE Tunneling De-Encapsulation SW); Initial Gigamon Pass-through Support Type with ELITE Support Level (24x7/AHR), bought with product or within 1 year of original.</t>
  </si>
  <si>
    <t>SMT-HC3-C05-ELT</t>
  </si>
  <si>
    <t>4056-2-2073</t>
  </si>
  <si>
    <t>GigaSMART, GigaVUE-HC3, De-Duplication feature license per GigaSMART module ; Initial Gigamon Pass-through Support Type with ELITE Support Level (24x7/AHR), bought with product or within 1 year of original purchase of product. Perpetual</t>
  </si>
  <si>
    <t>SMT-HC3-DD1-ELT</t>
  </si>
  <si>
    <t>4056-2-2074</t>
  </si>
  <si>
    <t>GigaSMART, GigaVUE-HC3, Header Stripping feature license per GigaSMART module; Initial Gigamon Pass-through Support Type with ELITE Support Level (24x7/AHR), bought with product or within 1 year of original purchase of product. Perpetual</t>
  </si>
  <si>
    <t>SMT-HC3-HS1-ELT</t>
  </si>
  <si>
    <t>4056-2-2075</t>
  </si>
  <si>
    <t>GigaSMART, GigaVUE-HC3, Advanced Tunneling feature license per GigaSMART module; Initial Gigamon Pass-through Support Type with ELITE Support Level (24x7/AHR), bought with product or within 1 year of original purchase of product. Perpetual</t>
  </si>
  <si>
    <t>SMT-HC3-AT1-ELT</t>
  </si>
  <si>
    <t>4056-2-2076</t>
  </si>
  <si>
    <t>GigaSMART, GigaVUE-HC3, FlowVUE feature license per GigaSMART module; Initial Gigamon Pass-through Support Type with ELITE Support Level (24x7/AHR), bought with product or within 1 year of original purchase of product. Perpetual</t>
  </si>
  <si>
    <t>SMT-HC3-FVU-ELT</t>
  </si>
  <si>
    <t>4056-2-2077</t>
  </si>
  <si>
    <t>GigaSMART, GigaVUE-HC3, Adaptive Packet Filtering feature license per GigaSMART module; Initial Gigamon Pass-through Support Type with ELITE Support Level (24x7/AHR), bought with product or within 1 year of original purchase of product. Perpetual</t>
  </si>
  <si>
    <t>SMT-HC3-APF-ELT</t>
  </si>
  <si>
    <t>4056-2-2078</t>
  </si>
  <si>
    <t>GigaSMART, GigaVUE-HC3, Application Session Filtering feature license per GigaSMART module; requires SMT-HC3-APF; Initial Gigamon Pass-through Support Type with ELITE Support Level (24x7/AHR), bought with product or within 1 year of original purchase of.</t>
  </si>
  <si>
    <t>SMT-HC3-ASF-ELT</t>
  </si>
  <si>
    <t>4056-2-2079</t>
  </si>
  <si>
    <t>GigaSMART, GigaVUE-HC3, NetFlow Generation feature license per GigaSMART module; Initial Gigamon Pass-through Support Type with ELITE Support Level (24x7/AHR), bought with product or within 1 year of original purchase of product. Perpetual</t>
  </si>
  <si>
    <t>SMT-HC3-NF1-ELT</t>
  </si>
  <si>
    <t>4056-2-2080</t>
  </si>
  <si>
    <t>GigaSMART, GigaVUE-HC3, SSL Decryption for Out of Band Tools Feature License per GigaSMART module; Initial Gigamon Pass-through Support Type with ELITE Support Level (24x7/AHR), bought with product or within 1 year of original purchase of product. Perpet</t>
  </si>
  <si>
    <t>SMT-HC3-SSL-ELT</t>
  </si>
  <si>
    <t>4056-2-2081</t>
  </si>
  <si>
    <t>GigaSMART, GigaVUE-HC3, GTP Filtering &amp; Correlation feature license per GigaSMART module, Maximum subscribers; Initial Gigamon Pass-through Support Type with ELITE Support Level (24x7/AHR), bought with product or within 1 year of original purchase of pro</t>
  </si>
  <si>
    <t>SMT-HC3-GTPMAX-ELT</t>
  </si>
  <si>
    <t>4056-2-2082</t>
  </si>
  <si>
    <t>GigaVUE-HD4 base unit w/ chassis, Version 2 Control Card, Fans, CLI, AC power; Initial Gigamon Pass-through Support Type with ELITE Support Level (24x7/AHR), bought with product or within 1 year of original purchase of product</t>
  </si>
  <si>
    <t>GVS-HD4A1-ELT</t>
  </si>
  <si>
    <t>4056-2-2083</t>
  </si>
  <si>
    <t>GigaVUE-HD4 base unit w/ chassis, Version 2 Control Card, Fans, CLI, DC power; Initial Gigamon Pass-through Support Type with ELITE Support Level (24x7/AHR), bought with product or within 1 year of original purchase of product</t>
  </si>
  <si>
    <t>GVS-HD4A2-ELT</t>
  </si>
  <si>
    <t>4056-2-2084</t>
  </si>
  <si>
    <t>GigaVUE-HD8 base unit w/ chassis, 2 Version 2 Control Cards, Fans, CLI, AC power; Initial Gigamon Pass-through Support Type with ELITE Support Level (24x7/AHR), bought with product or within 1 year of original purchase of product</t>
  </si>
  <si>
    <t>GVS-HD8A1-ELT</t>
  </si>
  <si>
    <t>4056-2-2085</t>
  </si>
  <si>
    <t>GigaVUE-HD8 base unit w/ chassis, 2 Version 2 Control Cards, Fans, CLI, DC power; Initial Gigamon Pass-through Support Type with ELITE Support Level (24x7/AHR), bought with product or within 1 year of original purchase of product</t>
  </si>
  <si>
    <t>GVS-HD8A2-ELT</t>
  </si>
  <si>
    <t>4056-2-2086</t>
  </si>
  <si>
    <t>Port Blade, HD Series, 12x10G 4x1G ; Initial Gigamon Pass-through Support Type with ELITE Support Level (24x7/AHR), bought with product or within 1 year of original purchase of product</t>
  </si>
  <si>
    <t>PRT-H00-X12G04-ELT</t>
  </si>
  <si>
    <t>4056-2-2087</t>
  </si>
  <si>
    <t>Port Blade, HD Series, 12x10G Time Stamp ; Initial Gigamon Pass-through Support Type with ELITE Support Level (24x7/AHR), bought with product or within 1 year of original purchase of product</t>
  </si>
  <si>
    <t>PRT-H00-X12TS-ELT</t>
  </si>
  <si>
    <t>4056-2-2088</t>
  </si>
  <si>
    <t>Port Blade, HD Series, 4x10G 44x1G ; Initial Gigamon Pass-through Support Type with ELITE Support Level (24x7/AHR), bought with product or within 1 year of original purchase of product</t>
  </si>
  <si>
    <t>PRT-H00-X04G44-ELT</t>
  </si>
  <si>
    <t>4056-2-2089</t>
  </si>
  <si>
    <t>Port Blade, HD Series, 2x40G 32x10G (24 10G + 2 40G or 32 10G active); Initial Gigamon Pass-through Support Type with ELITE Support Level (24x7/AHR), bought with product or within 1 year of original purchase of product</t>
  </si>
  <si>
    <t>PRT-H00-Q02X32-ELT</t>
  </si>
  <si>
    <t>4056-2-2090</t>
  </si>
  <si>
    <t>Port Blade, HD Series, 8x40G; Initial Gigamon Pass-through Support Type with ELITE Support Level (24x7/AHR), bought with product or within 1 year of original purchase of product</t>
  </si>
  <si>
    <t>PRT-HD0-Q08-ELT</t>
  </si>
  <si>
    <t>4056-2-2091</t>
  </si>
  <si>
    <t>Port Blade, HD Series, 1x100G; Initial Gigamon Pass-through Support Type with ELITE Support Level (24x7/AHR), bought with product or within 1 year of original purchase of product</t>
  </si>
  <si>
    <t>PRT-HD0-C01-ELT</t>
  </si>
  <si>
    <t>4056-2-2092</t>
  </si>
  <si>
    <t>Port Blade, HD Series, 2x100G CFP cages + 8x10G cages; Initial Gigamon Pass-through Support Type with ELITE Support Level (24x7/AHR), bought with product or within 1 year of original purchase of product</t>
  </si>
  <si>
    <t>PRT-HD0-C02X08-ELT</t>
  </si>
  <si>
    <t>4056-2-2105</t>
  </si>
  <si>
    <t>GigaSMART, HD Series, GTP Filtering &amp; Correlation feature license per GigaSMART blade, Maximum subscribers; Initial Gigamon Pass-through Support Type with ELITE Support Level (24x7/AHR), bought with product or within 1 year of original purchase of produc</t>
  </si>
  <si>
    <t>SMT-HD0-GTPMAX-ELT</t>
  </si>
  <si>
    <t>4056-2-2106</t>
  </si>
  <si>
    <t>GigaSMART, HD Series, NetFlow Generation feature license per GigaSMART blade; Initial Gigamon Pass-through Support Type with ELITE Support Level (24x7/AHR), bought with product or within 1 year of original purchase of product. Perpetual</t>
  </si>
  <si>
    <t>SMT-HD0-NF1-ELT</t>
  </si>
  <si>
    <t>4056-2-2107</t>
  </si>
  <si>
    <t>G-TAP A Series, Always On copper TAP, No Power; Initial Gigamon Pass-through Support Type with ELITE Support Level (24x7/AHR), bought with product or within 1 year of original purchase of product</t>
  </si>
  <si>
    <t>GTP-ATX00-ELT</t>
  </si>
  <si>
    <t>4056-2-2108</t>
  </si>
  <si>
    <t>G-TAP A Series, Always On copper TAP, AC Power (US Plug) ; Initial Gigamon Pass-through Support Type with ELITE Support Level (24x7/AHR), bought with product or within 1 year of original purchase of product</t>
  </si>
  <si>
    <t>GTP-ATX01-ELT</t>
  </si>
  <si>
    <t>4056-2-2109</t>
  </si>
  <si>
    <t>G-TAP A Series, Always On copper TAP, DC Power; Initial Gigamon Pass-through Support Type with ELITE Support Level (24x7/AHR), bought with product or within 1 year of original purchase of product</t>
  </si>
  <si>
    <t>GTP-ATX02-ELT</t>
  </si>
  <si>
    <t>4056-2-2110</t>
  </si>
  <si>
    <t>G-TAP A Series, Always On SFP/SFP+ TAP, No Power; Initial Gigamon Pass-through Support Type with ELITE Support Level (24x7/AHR), bought with product or within 1 year of original purchase of product</t>
  </si>
  <si>
    <t>GTP-ASF00-ELT</t>
  </si>
  <si>
    <t>4056-2-2111</t>
  </si>
  <si>
    <t>G-TAP A Series, Always On SFP/SFP+ TAP, AC Power (US Plug); Initial Gigamon Pass-through Support Type with ELITE Support Level (24x7/AHR), bought with product or within 1 year of original purchase of product</t>
  </si>
  <si>
    <t>GTP-ASF01-ELT</t>
  </si>
  <si>
    <t>4056-2-2112</t>
  </si>
  <si>
    <t>G-TAP A Series, Always On SFP/SFP+ TAP, DC Power; Initial Gigamon Pass-through Support Type with ELITE Support Level (24x7/AHR), bought with product or within 1 year of original purchase of product</t>
  </si>
  <si>
    <t>GTP-ASF02-ELT</t>
  </si>
  <si>
    <t>4056-2-2113</t>
  </si>
  <si>
    <t>Monthly Term license for traffic visibility up to 100 virtual TAP Points in AWS. Min Term is 3 months with a max of 12 months. Includes Premium Support; Initial Gigamon Pass-through Support Type with ELITE Support Level (24x7/AHR), bought with product or</t>
  </si>
  <si>
    <t>GFM-AWS-100-ELT</t>
  </si>
  <si>
    <t>4056-2-2114</t>
  </si>
  <si>
    <t>Monthly Term license for traffic visibility up to 1000 virtual TAP Points in AWS. Min Term is 3 months with a max of 12 months. Includes Premium Support; Initial Gigamon Pass-through Support Type with ELITE Support Level (24x7/AHR), bought with product o</t>
  </si>
  <si>
    <t>GFM-AWS-1000-ELT</t>
  </si>
  <si>
    <t>4056-2-2115</t>
  </si>
  <si>
    <t>GigaVUE-FM Hardware Appliance, manages up to 10 Physical Visibility Fabric Nodes; Initial Gigamon Pass-through Support Type with ELITE Support Level (24x7/AHR), bought with product or within 1 year of original purchase of product</t>
  </si>
  <si>
    <t>GFM-HW0-FM010-ELT</t>
  </si>
  <si>
    <t>4056-2-2116</t>
  </si>
  <si>
    <t>GigaVUE-FM, manage up to 5 Physical Visibility Fabric Nodes ; Initial Gigamon Pass-through Support Type with ELITE Support Level (24x7/AHR), bought with product or within 1 year of original purchase of product. Perpetual</t>
  </si>
  <si>
    <t>GFM-FM005-ELT</t>
  </si>
  <si>
    <t>4056-2-2130</t>
  </si>
  <si>
    <t>Virtual Monitoring in OpenStack deployments for up to 250 virtual tap points. A 'virtual tap point' is any end point that can be tapped, for ex., a vNIC in a VM.; Initial Gigamon Pass-through Support Type with ELITE Support Level (24x7/AHR), bought with.</t>
  </si>
  <si>
    <t>GFM-VTAP-250-ELT</t>
  </si>
  <si>
    <t>4056-2-2131</t>
  </si>
  <si>
    <t>Virtual Monitoring in OpenStack deployments for up to 1000 virtual tap points. A 'virtual tap point' is any end point that can be tapped, for ex., a vNIC in a VM.; Initial Gigamon Pass-through Support Type with ELITE Support Level (24x7/AHR), bought with</t>
  </si>
  <si>
    <t>GFM-VTAP-1000-ELT</t>
  </si>
  <si>
    <t>4056-2-1843</t>
  </si>
  <si>
    <t>GigaSMART, GigaVUE-HC2, SSL Decryption Upgrade for Inline Tools Feature License per GigaSMART module; Upgrade</t>
  </si>
  <si>
    <t>SMT-HC0-UPGINSSL -U</t>
  </si>
  <si>
    <t>4056-2-1844</t>
  </si>
  <si>
    <t>GigaVUE-HC3 base unit w/ chassis, Control Card, 5 Fan Modules, CLI, 2 power supplies, AC power ; Upgrade</t>
  </si>
  <si>
    <t>GVS-HC301-U</t>
  </si>
  <si>
    <t>4056-2-1845</t>
  </si>
  <si>
    <t>GigaVUE-HC3 base unit w/ chassis, Control Card, 5 Fan Modules, CLI, 2 power supplies, DC power ; Upgrade</t>
  </si>
  <si>
    <t>GVS-HC302-U</t>
  </si>
  <si>
    <t>4056-2-1846</t>
  </si>
  <si>
    <t>Port Module, GigaVUE-HC3, 8x100G QSFP28 cages and 8x40G QSFP+ cages; Upgrade</t>
  </si>
  <si>
    <t>PRT-HC3-C08Q08-U</t>
  </si>
  <si>
    <t>4056-2-1847</t>
  </si>
  <si>
    <t>Port Module, GigaVUE-HC3, 24x10G; Upgrade</t>
  </si>
  <si>
    <t>PRT-HC3-X24-U</t>
  </si>
  <si>
    <t>4056-2-1848</t>
  </si>
  <si>
    <t>GigaSMART, GigaVUE-HC3, 5x100G QSFP28 cages (includes Slicing, Masking, Source Port &amp; GigaVUE Tunneling De-Encapsulation SW); Upgrade. Perpetual</t>
  </si>
  <si>
    <t>SMT-HC3-C05-U</t>
  </si>
  <si>
    <t>4056-2-1849</t>
  </si>
  <si>
    <t>GigaSMART, GigaVUE-HC3, De-Duplication feature license per GigaSMART module ; Upgrade. Perpetual</t>
  </si>
  <si>
    <t>SMT-HC3-DD1-U</t>
  </si>
  <si>
    <t>4056-2-1850</t>
  </si>
  <si>
    <t>GigaSMART, GigaVUE-HC3, Header Stripping feature license per GigaSMART module; Upgrade. Perpetual</t>
  </si>
  <si>
    <t>SMT-HC3-HS1-U</t>
  </si>
  <si>
    <t>4056-2-1851</t>
  </si>
  <si>
    <t>GigaSMART, GigaVUE-HC3, Advanced Tunneling feature license per GigaSMART module; Upgrade. Perpetual</t>
  </si>
  <si>
    <t>SMT-HC3-AT1-U</t>
  </si>
  <si>
    <t>4056-2-1852</t>
  </si>
  <si>
    <t>GigaSMART, GigaVUE-HC3, FlowVUE feature license per GigaSMART module; Upgrade. Perpetual</t>
  </si>
  <si>
    <t>SMT-HC3-FVU-U</t>
  </si>
  <si>
    <t>4056-2-1853</t>
  </si>
  <si>
    <t>GigaSMART, GigaVUE-HC3, Adaptive Packet Filtering feature license per GigaSMART module; Upgrade. Perpetual</t>
  </si>
  <si>
    <t>SMT-HC3-APF-U</t>
  </si>
  <si>
    <t>4056-2-1854</t>
  </si>
  <si>
    <t>GigaSMART, GigaVUE-HC3, Application Session Filtering feature license per GigaSMART module; Upgrade. Perpetual</t>
  </si>
  <si>
    <t>SMT-HC3-ASF-U</t>
  </si>
  <si>
    <t>4056-2-1855</t>
  </si>
  <si>
    <t>GigaSMART, GigaVUE-HC3, NetFlow Generation feature license per GigaSMART module; Upgrade. Perpetual</t>
  </si>
  <si>
    <t>SMT-HC3-NF1-U</t>
  </si>
  <si>
    <t>4056-2-1856</t>
  </si>
  <si>
    <t>GigaSMART, GigaVUE-HC3, SSL Decryption for Out of Band Tools Feature License per GigaSMART module; Upgrade. Perpetual</t>
  </si>
  <si>
    <t>SMT-HC3-SSL-U</t>
  </si>
  <si>
    <t>4056-2-1857</t>
  </si>
  <si>
    <t>GigaSMART, GigaVUE-HC3, GTP Filtering &amp; Correlation feature license per GigaSMART module, Maximum subscribers; Upgrade. Perpetual</t>
  </si>
  <si>
    <t>SMT-HC3-GTPMAX-U</t>
  </si>
  <si>
    <t>4056-2-633</t>
  </si>
  <si>
    <t>GigaSMART-Base Configuration (Slice, Masking, Source Port) features module license per GigaSMART blade (EOS Dec 31, 2016). Perpetual</t>
  </si>
  <si>
    <t>SMT-BSE</t>
  </si>
  <si>
    <t>4056-2-637</t>
  </si>
  <si>
    <t>GigaSMART-De-Duplication feature module license per GigaSMART blade (EOS Dec 31, 2016)          . Perpetual</t>
  </si>
  <si>
    <t>SMT-DDP</t>
  </si>
  <si>
    <t>4056-2-641</t>
  </si>
  <si>
    <t>GigaSMART-Filtering feature module license per GigaSMART blade (not released). Perpetual</t>
  </si>
  <si>
    <t>SMT-FIL</t>
  </si>
  <si>
    <t>4056-2-645</t>
  </si>
  <si>
    <t>GigaSMART, HB license, Adaptive Packet Filtering feature (EOS Jun 30, 2018). Perpetual</t>
  </si>
  <si>
    <t>SMT-HB0-APF</t>
  </si>
  <si>
    <t>4056-2-649</t>
  </si>
  <si>
    <t>GigaSMART, HB license, FlowVUE feature (EOS Jun 30, 2018). Perpetual</t>
  </si>
  <si>
    <t>SMT-HB0-FVU</t>
  </si>
  <si>
    <t>4056-2-653</t>
  </si>
  <si>
    <t>GigaSMART, HB license, GTP Filtering &amp; Correlation feature, 250K subscribers (EOS Jun 30, 2018). Perpetual</t>
  </si>
  <si>
    <t>SMT-HB0-GTP250</t>
  </si>
  <si>
    <t>4056-2-657</t>
  </si>
  <si>
    <t>GigaSMART, HB license, NetFlow Generation feature (EOS Jun 30, 2018). Perpetual</t>
  </si>
  <si>
    <t>SMT-HB0-NF1</t>
  </si>
  <si>
    <t>4056-2-661</t>
  </si>
  <si>
    <t>GigaSMART, HB License, SSL Decryption for Out of Band Tools Feature (EOS Jun 30, 2018). Perpetual</t>
  </si>
  <si>
    <t>SMT-HB0-SSL</t>
  </si>
  <si>
    <t>4056-2-665</t>
  </si>
  <si>
    <t>GigaSMART, HB license combo, includes Slicing, Masking, &amp; Source Port features (EOS Jun 30, 2018). Perpetual</t>
  </si>
  <si>
    <t>SMT-HB1-BSE</t>
  </si>
  <si>
    <t>4056-2-669</t>
  </si>
  <si>
    <t>GigaSMART, HB license, De-Duplication feature (EOS Jun 30, 2018). Perpetual</t>
  </si>
  <si>
    <t>SMT-HB1-DD1</t>
  </si>
  <si>
    <t>4056-2-673</t>
  </si>
  <si>
    <t>GigaSMART, HB license, Header Stripping feature (EOS Jun 30, 2018). Perpetual</t>
  </si>
  <si>
    <t>SMT-HB1-HS1</t>
  </si>
  <si>
    <t>4056-2-677</t>
  </si>
  <si>
    <t>GigaSMART, HB license, Tunneling feature (includes ERSPAN De-Encapsulation) (EOS Jun 30, 2018). Perpetual</t>
  </si>
  <si>
    <t>SMT-HB1-TUN</t>
  </si>
  <si>
    <t>SMT-HC0-APF-2-2a</t>
  </si>
  <si>
    <t>GigaSMART, GigaVUE-HC2, Adaptive Packet Filtering feature license per GigaSMART module</t>
  </si>
  <si>
    <t>SMT-HC0-APF</t>
  </si>
  <si>
    <t>SMT-HC0-AT1-2-2a</t>
  </si>
  <si>
    <t>GigaSMART, GigaVUE-HC2, Advanced Tunneling feature license per GigaSMART module</t>
  </si>
  <si>
    <t>SMT-HC0-AT1</t>
  </si>
  <si>
    <t>SMT-HC0-DD1-2-2a</t>
  </si>
  <si>
    <t>GigaSMART, GigaVUE-HC2, De-Duplication feature license per GigaSMART module</t>
  </si>
  <si>
    <t>SMT-HC0-DD1</t>
  </si>
  <si>
    <t>4056-2-2129</t>
  </si>
  <si>
    <t>Virtual Monitoring in OpenStack deployments for up to 100 virtual tap points. A 'virtual tap point' is any end point that can be tapped, for ex., a vNIC in a VM. ; Initial Gigamon Pass-through Support Type with ELITE Support Level (24x7/AHR), bought with</t>
  </si>
  <si>
    <t>GFM-VTAP-100-ELT</t>
  </si>
  <si>
    <t>4056-2-2128</t>
  </si>
  <si>
    <t>GigaVUE-VM 1000 Pack Bundle SW License Extension; Initial Gigamon Pass-through Support Type with ELITE Support Level (24x7/AHR), bought with product or within 1 year of original purchase of product. Perpetual</t>
  </si>
  <si>
    <t>GFM-VM1000-ELT</t>
  </si>
  <si>
    <t>4056-2-2127</t>
  </si>
  <si>
    <t>GigaVUE-VM 250 Pack Bundle SW License Extension; Initial Gigamon Pass-through Support Type with ELITE Support Level (24x7/AHR), bought with product or within 1 year of original purchase of product. Perpetual</t>
  </si>
  <si>
    <t>GFM-VM250-ELT</t>
  </si>
  <si>
    <t>4056-2-2126</t>
  </si>
  <si>
    <t>GigaVUE-VM 100 Pack Bundle SW License Extension; Initial Gigamon Pass-through Support Type with ELITE Support Level (24x7/AHR), bought with product or within 1 year of original purchase of product. Perpetual</t>
  </si>
  <si>
    <t>GFM-VM100-ELT</t>
  </si>
  <si>
    <t>4056-2-2125</t>
  </si>
  <si>
    <t>GigaVUE-VM 50 Pack Bundle SW License Extension; Initial Gigamon Pass-through Support Type with ELITE Support Level (24x7/AHR), bought with product or within 1 year of original purchase of product. Perpetual</t>
  </si>
  <si>
    <t>GFM-VM050-ELT</t>
  </si>
  <si>
    <t>4056-2-2124</t>
  </si>
  <si>
    <t>GigaVUE-VM 10 Pack Bundle SW License Extension; Initial Gigamon Pass-through Support Type with ELITE Support Level (24x7/AHR), bought with product or within 1 year of original purchase of product. Perpetual</t>
  </si>
  <si>
    <t>GFM-VM010-ELT</t>
  </si>
  <si>
    <t>4056-2-2123</t>
  </si>
  <si>
    <t>GigaVUE-FM Upgrade from 10-Pack license to the Prime Edition for either Software only or Hardware Appliance, includes FabricVUE Traffic Analyzer (GFM-FM-FTA) and VMware NSX Manager Integration (GFM-VM-NSX) add ons; Initial Gigamon Pass-through Support Ty</t>
  </si>
  <si>
    <t>GFM-UPG-10P-ELT</t>
  </si>
  <si>
    <t>4056-2-2122</t>
  </si>
  <si>
    <t>GigaVUE-FM Upgrade from 5-Pack to the Prime Edition, includes FabricVUE Traffic Analyzer (GFM-FM-FTA) and VMware NSX Manager Integration (GFM-VM-NSX) add ons; Initial Gigamon Pass-through Support Type with ELITE Support Level (24x7/AHR), bought with prod</t>
  </si>
  <si>
    <t>GFM-UPG-5P-ELT</t>
  </si>
  <si>
    <t>4056-2-2121</t>
  </si>
  <si>
    <t>GigaVUE-FM Upgrade from 5-Pack to the 10-Pack Edition ; Initial Gigamon Pass-through Support Type with ELITE Support Level (24x7/AHR), bought with product or within 1 year of original purchase of product. Perpetual</t>
  </si>
  <si>
    <t>GFM-UPG-510-ELT</t>
  </si>
  <si>
    <t>4056-2-2120</t>
  </si>
  <si>
    <t>GigaVUE-FM add-on for VMware NSX Manager Integration, optional add-on for GFM-FM005 and GFM-FM010 licenses; Initial Gigamon Pass-through Support Type with ELITE Support Level (24x7/AHR), bought with product or within 1 year of original purchase of produc</t>
  </si>
  <si>
    <t>GFM-VM-NSX-ELT</t>
  </si>
  <si>
    <t>4056-2-2119</t>
  </si>
  <si>
    <t>GigaVUE-FM FabricVUE Traffic Analyzer, optional add-on for GFM-FM005 and GFM-FM010 licenses ; Initial Gigamon Pass-through Support Type with ELITE Support Level (24x7/AHR), bought with product or within 1 year of original purchase of product. Perpetual</t>
  </si>
  <si>
    <t>GFM-FM-FTA-ELT</t>
  </si>
  <si>
    <t>4056-2-2118</t>
  </si>
  <si>
    <t>GigaVUE-FM Prime Edition, manage up to 200 Physical Visibility Fabric Nodes, includes FabricVUE Traffic Analyzer (GFM-FM-FTA) and VMware NSX Manager Integration (GFM-VM-NSX) add-ons; Initial Gigamon Pass-through Support Type with ELITE Support Level (24x</t>
  </si>
  <si>
    <t>GFM-FM000-ELT</t>
  </si>
  <si>
    <t>4056-2-2117</t>
  </si>
  <si>
    <t>GigaVUE-FM, manage up to 10 Physical Visibility Fabric Nodes; Initial Gigamon Pass-through Support Type with ELITE Support Level (24x7/AHR), bought with product or within 1 year of original purchase of product. Perpetual</t>
  </si>
  <si>
    <t>GFM-FM010-ELT</t>
  </si>
  <si>
    <t>4056-2-2104</t>
  </si>
  <si>
    <t>GigaSMART, HD Series, GTP Filtering &amp; Correlation feature license per GigaSMART blade, 500K subscribers; Initial Gigamon Pass-through Support Type with ELITE Support Level (24x7/AHR), bought with product or within 1 year of original purchase of product.</t>
  </si>
  <si>
    <t>SMT-HD0-GTP500-ELT</t>
  </si>
  <si>
    <t>4056-2-2103</t>
  </si>
  <si>
    <t>GigaSMART, HD Series, GTP Filtering &amp; Correlation feature license per GigaSMART blade, 250K subscribers; Initial Gigamon Pass-through Support Type with ELITE Support Level (24x7/AHR), bought with product or within 1 year of original purchase of product.</t>
  </si>
  <si>
    <t>SMT-HD0-GTP250-ELT</t>
  </si>
  <si>
    <t>4056-2-2102</t>
  </si>
  <si>
    <t>GigaSMART, HD Series, Application Session Filtering feature license per GigaSMART blade; requires SMT-HD0-APF; Initial Gigamon Pass-through Support Type with ELITE Support Level (24x7/AHR), bought with product or within 1 year of original purchase of pro</t>
  </si>
  <si>
    <t>SMT-HD0-ASF-ELT</t>
  </si>
  <si>
    <t>4056-2-2101</t>
  </si>
  <si>
    <t>GigaSMART, HD Series, Adaptive Packet Filtering feature license per GigaSMART blade; Initial Gigamon Pass-through Support Type with ELITE Support Level (24x7/AHR), bought with product or within 1 year of original purchase of product. Perpetual</t>
  </si>
  <si>
    <t>SMT-HD0-APF-ELT</t>
  </si>
  <si>
    <t>4056-2-2100</t>
  </si>
  <si>
    <t>GigaSMART, HD Series, FlowVUE feature license per GigaSMART blade; Initial Gigamon Pass-through Support Type with ELITE Support Level (24x7/AHR), bought with product or within 1 year of original purchase of product. Perpetual</t>
  </si>
  <si>
    <t>SMT-HD0-FVU-ELT</t>
  </si>
  <si>
    <t>4056-2-2099</t>
  </si>
  <si>
    <t>GigaSMART, HD Series, Advanced Tunneling feature license per GigaSMART blade ; Initial Gigamon Pass-through Support Type with ELITE Support Level (24x7/AHR), bought with product or within 1 year of original purchase of product. Perpetual</t>
  </si>
  <si>
    <t>SMT-HD0-AT1-ELT</t>
  </si>
  <si>
    <t>4056-2-2098</t>
  </si>
  <si>
    <t>GigaSMART, HD Series, Header Stripping feature license per GigaSMART blade ; Initial Gigamon Pass-through Support Type with ELITE Support Level (24x7/AHR), bought with product or within 1 year of original purchase of product. Perpetual</t>
  </si>
  <si>
    <t>SMT-HD0-HS1-ELT</t>
  </si>
  <si>
    <t>4056-2-2097</t>
  </si>
  <si>
    <t>GigaSMART, HD Series, De-Duplication feature license per GigaSMART blade ; Initial Gigamon Pass-through Support Type with ELITE Support Level (24x7/AHR), bought with product or within 1 year of original purchase of pr. Perpetual</t>
  </si>
  <si>
    <t>SMT-HD0-DD1-ELT</t>
  </si>
  <si>
    <t>4056-2-2096</t>
  </si>
  <si>
    <t>GigaSMART, HD Series, SSL Decryption for Out of Band Tools Feature License per GigaSMART module; Initial Gigamon Pass-through Support Type with ELITE Support Level (24x7/AHR), bought with product or within 1 year of original purchase of product. Perpetua</t>
  </si>
  <si>
    <t>SMT-HD0-SSL-ELT</t>
  </si>
  <si>
    <t>4056-2-2095</t>
  </si>
  <si>
    <t>GigaSMART, HD Series blade (includes Slicing, Masking, Source Port &amp; GigaVUE Tunneling De-Encapsulation SW) ; Initial Gigamon Pass-through Support Type with ELITE Support Level (24x7/AHR), bought with product or within 1 year of original pu. Perpetual</t>
  </si>
  <si>
    <t>SMT-HD0-ELT</t>
  </si>
  <si>
    <t>4056-2-2094</t>
  </si>
  <si>
    <t>Port Blade, HD Series, 6x100G QSFP28 cages + 24x10G cages; Initial Gigamon Pass-through Support Type with ELITE Support Level (24x7/AHR), bought with product or within 1 year of original purchase of product</t>
  </si>
  <si>
    <t>PRT-HD0-C06X24-ELT</t>
  </si>
  <si>
    <t>4056-2-2093</t>
  </si>
  <si>
    <t>Port Blade, HD Series, 2x100G CFP2 cages + 8x10G cages; Initial Gigamon Pass-through Support Type with ELITE Support Level (24x7/AHR), bought with product or within 1 year of original purchase of product</t>
  </si>
  <si>
    <t>PRT-HD0-C02X08A-ELT</t>
  </si>
  <si>
    <t>SMT-HC0-FVU-2-2a</t>
  </si>
  <si>
    <t>GigaSMART, GigaVUE-HC2, FlowVUE feature license per GigaSMART module</t>
  </si>
  <si>
    <t>SMT-HC0-FVU</t>
  </si>
  <si>
    <t>SMT-HC0-GTP250-2-2a</t>
  </si>
  <si>
    <t>GigaSMART, GigaVUE-HC2, GTP Filtering &amp; Correlation feature license per GigaSMART module, 250K subscribers</t>
  </si>
  <si>
    <t>SMT-HC0-GTP250</t>
  </si>
  <si>
    <t>SMT-HC0-GTP500-2-2a</t>
  </si>
  <si>
    <t>GigaSMART, GigaVUE-HC2, GTP Filtering &amp; Correlation feature license per GigaSMART module, 500K subscribers</t>
  </si>
  <si>
    <t>SMT-HC0-GTP500</t>
  </si>
  <si>
    <t>SMT-HC0-GTPMAX-2-2a</t>
  </si>
  <si>
    <t>GigaSMART, GigaVUE-HC2, GTP Filtering &amp; Correlation feature license per GigaSMART module, Maximum subscribers</t>
  </si>
  <si>
    <t>SMT-HC0-GTPMAX</t>
  </si>
  <si>
    <t>SMT-HC0-HS1-2-2a</t>
  </si>
  <si>
    <t>GigaSMART, GigaVUE-HC2, Header Stripping feature license per GigaSMART module</t>
  </si>
  <si>
    <t>SMT-HC0-HS1</t>
  </si>
  <si>
    <t>SMT-HC0-NF1-2-2a</t>
  </si>
  <si>
    <t>GigaSMART, GigaVUE-HC2, NetFlow Generation feature license per GigaSMART module</t>
  </si>
  <si>
    <t>SMT-HC0-NF1</t>
  </si>
  <si>
    <t>SMT-HC0-R-2-2a</t>
  </si>
  <si>
    <t>GigaSMART, GigaVUE-HC2 Rear Module (includes Slicing, Masking, Source Port &amp; GigaVUE Tunneling De-Encapsulation SW)</t>
  </si>
  <si>
    <t>SMT-HC0-R</t>
  </si>
  <si>
    <t>SMT-HC0-SSL-2-2a</t>
  </si>
  <si>
    <t>GigaSMART, GigaVUE-HC2, SSL Decryption for Out of Band Tools Feature License per GigaSMART module</t>
  </si>
  <si>
    <t>SMT-HC0-SSL</t>
  </si>
  <si>
    <t>SMT-HC0-X16-2-2a</t>
  </si>
  <si>
    <t>GigaSMART, GigaVUE-HC2, Front Module, 16 10G cages (includes Slicing, Masking, Source Port &amp; GigaVUE Tunneling De-Encapsulation SW)</t>
  </si>
  <si>
    <t>SMT-HC0-X16</t>
  </si>
  <si>
    <t>4056-2-729</t>
  </si>
  <si>
    <t>GigaSMART, HD Series blade (includes Slicing, Masking, Source Port &amp; GigaVUE Tunneling De-Encapsulation SW)  (EOS Oct 31, 2018). Perpetual</t>
  </si>
  <si>
    <t>SMT-HD0</t>
  </si>
  <si>
    <t>4056-2-730</t>
  </si>
  <si>
    <t>GigaSMART, HD Series, Adaptive Packet Filtering feature license per GigaSMART blade (EOS Oct 31, 2018). Perpetual</t>
  </si>
  <si>
    <t>SMT-HD0-APF</t>
  </si>
  <si>
    <t>4056-2-735</t>
  </si>
  <si>
    <t>GigaSMART, HD Series, Advanced Tunneling feature license per GigaSMART blade (EOS Oct 31, 2018) . Perpetual</t>
  </si>
  <si>
    <t>SMT-HD0-AT1</t>
  </si>
  <si>
    <t>4056-2-739</t>
  </si>
  <si>
    <t>GigaSMART, HD Series, De-Duplication feature license per GigaSMART blade (EOS Oct 31, 2018). Perpetual</t>
  </si>
  <si>
    <t>SMT-HD0-DD1</t>
  </si>
  <si>
    <t>4056-2-743</t>
  </si>
  <si>
    <t>GigaSMART, HD Series, FlowVUE feature license per GigaSMART blade (EOS Oct 31, 2018). Perpetual</t>
  </si>
  <si>
    <t>SMT-HD0-FVU</t>
  </si>
  <si>
    <t>4056-2-747</t>
  </si>
  <si>
    <t>GigaSMART, HD Series, GTP Filtering &amp; Correlation feature license per GigaSMART blade, 250K subscribers (EOS Oct 31, 2018). Perpetual</t>
  </si>
  <si>
    <t>SMT-HD0-GTP250</t>
  </si>
  <si>
    <t>4056-2-751</t>
  </si>
  <si>
    <t>GigaSMART, HD Series, GTP Filtering &amp; Correlation feature license per GigaSMART blade, 500K subscribers (EOS Oct 31, 2018). Perpetual</t>
  </si>
  <si>
    <t>SMT-HD0-GTP500</t>
  </si>
  <si>
    <t>4056-2-755</t>
  </si>
  <si>
    <t>GigaSMART, HD Series, GTP Filtering &amp; Correlation feature license per GigaSMART blade, Maximum subscribers (EOS Oct 31, 2018). Perpetual</t>
  </si>
  <si>
    <t>SMT-HD0-GTPMAX</t>
  </si>
  <si>
    <t>4056-2-759</t>
  </si>
  <si>
    <t>GigaSMART, HD Series, Header Stripping feature license per GigaSMART blade (EOS Oct 31, 2018)  . Perpetual</t>
  </si>
  <si>
    <t>SMT-HD0-HS1</t>
  </si>
  <si>
    <t>4056-2-763</t>
  </si>
  <si>
    <t>GigaSMART, HD Series, NetFlow Generation feature license per GigaSMART blade (EOS Oct 31, 2018). Perpetual</t>
  </si>
  <si>
    <t>SMT-HD0-NF1</t>
  </si>
  <si>
    <t>4056-2-769</t>
  </si>
  <si>
    <t>GigaSMART, HD Series, SSL Decryption for Out of Band Tools Feature License per GigaSMART module (EOS Oct 31, 2018). Perpetual</t>
  </si>
  <si>
    <t>SMT-HD0-SSL</t>
  </si>
  <si>
    <t>4056-2-773</t>
  </si>
  <si>
    <t>GigaSMART-Header Stripping feature module license per GigaSMART blade (EOS Dec 31, 2016). Perpetual</t>
  </si>
  <si>
    <t>SMT-HST</t>
  </si>
  <si>
    <t>4056-2-777</t>
  </si>
  <si>
    <t>GigaSMART-Load Balancing Group feature module license per GigaSMART blade (EOS Dec 31, 2016). Perpetual</t>
  </si>
  <si>
    <t>SMT-LBG</t>
  </si>
  <si>
    <t>4056-2-790</t>
  </si>
  <si>
    <t>GigaSMART-Time stamp feature module license per GigaSMART blade (EOS Dec 31, 2016). Perpetual</t>
  </si>
  <si>
    <t>SMT-TSP</t>
  </si>
  <si>
    <t>4056-2-794</t>
  </si>
  <si>
    <t>GigaSMART-Tunneling feature module license per GigaSMART blade (EOS Dec 31, 2016). Perpetual</t>
  </si>
  <si>
    <t>SMT-TUN</t>
  </si>
  <si>
    <t>GFM-FM005-2-2a</t>
  </si>
  <si>
    <t>GigaVUE-FM, manage up to 5 Physical Visibility Fabric Nodes</t>
  </si>
  <si>
    <t>GFM-FM005</t>
  </si>
  <si>
    <t>GFM-FM010-2-2a</t>
  </si>
  <si>
    <t>GigaVUE-FM, manage up to 10 Physical Visibility Fabric Nodes</t>
  </si>
  <si>
    <t>GFM-FM010</t>
  </si>
  <si>
    <t>GFM-FM-FTA-2-2a</t>
  </si>
  <si>
    <t>GigaVUE-FM FabricVUE Traffic Analyzer, optional add-on for GFM-FM005 and GFM-FM010 licenses. EOS Dec 31, 2019</t>
  </si>
  <si>
    <t>GFM-FM-FTA</t>
  </si>
  <si>
    <t>GFM-UPG-510-2-2a</t>
  </si>
  <si>
    <t>GigaVUE-FM Upgrade from the 5-Pack to the 10-Pack Edition</t>
  </si>
  <si>
    <t>GFM-UPG-510</t>
  </si>
  <si>
    <t>GFM-UPG-5P-2-2a</t>
  </si>
  <si>
    <t>GigaVUE-FM Upgrade from the 5-Pack to the Prime Edition, includes FabricVUE Traffic Analyzer (GFM-FM-FTA) and VMware NSX Manager Integration (GFM-VM-NSX) add-ons</t>
  </si>
  <si>
    <t>GFM-UPG-5P</t>
  </si>
  <si>
    <t>GFM-UPG-10P-2-2a</t>
  </si>
  <si>
    <t>GigaVUE-FM Upgrade from the 10-Pack license to the Prime Edition for either Software only or Hardware Appliance, includes FabricVUE Traffic Analyzer (GFM-FM-FTA) and VMware NSX Manager Integration (GFM-VM-NSX) add-ons</t>
  </si>
  <si>
    <t>GFM-UPG-10P</t>
  </si>
  <si>
    <t>4056-2-1315</t>
  </si>
  <si>
    <t>GigaVUE-OS SW license for certified 10G-based white box edge hardware, perpetual license, Premium Support required. Perpetual</t>
  </si>
  <si>
    <t>GSW-WBX00</t>
  </si>
  <si>
    <t>GFM-VTAP-100-2-2a</t>
  </si>
  <si>
    <t>Virtual Monitoring in OpenStack deployments for up to 100 virtual tap points. A ‘virtual tap point’ is any end point that can be tapped, for ex., a vNIC in a VM. (EOS June 30, 2022)</t>
  </si>
  <si>
    <t>GFM-VTAP-100</t>
  </si>
  <si>
    <t>GFM-VTAP-250-2-2a</t>
  </si>
  <si>
    <t>Virtual Monitoring in OpenStack deployments for up to 250 virtual tap points. A ‘virtual tap point’ is any end point that can be tapped, for ex., a vNIC in a VM. (EOS June 30, 2022)</t>
  </si>
  <si>
    <t>GFM-VTAP-250</t>
  </si>
  <si>
    <t>4056-2-1346</t>
  </si>
  <si>
    <t>GigaVUE-FM Hardware Appliance, manages up to 10 Physical Visibility Fabric Nodes</t>
  </si>
  <si>
    <t>GFM-HW0-FM010</t>
  </si>
  <si>
    <t>GFM-VTAP-1000-2-2a</t>
  </si>
  <si>
    <t>Virtual Monitoring in OpenStack deployments for up to 1000 virtual tap points. A ‘virtual tap point’ is any end point that can be tapped, for ex., a vNIC in a VM. (EOS June 30, 2022)</t>
  </si>
  <si>
    <t>GFM-VTAP-1000</t>
  </si>
  <si>
    <t>4056-2-1495</t>
  </si>
  <si>
    <t>Contracted On Site Support- yearly contracted fee per on-site personnel</t>
  </si>
  <si>
    <t>SVC-COS-200</t>
  </si>
  <si>
    <t>4056-2-1496</t>
  </si>
  <si>
    <t>Remote Professional Service Assistance(pre-established scope) (4 hour increments)</t>
  </si>
  <si>
    <t>SVC-PS4</t>
  </si>
  <si>
    <t>BAT-GTA00-2-2a</t>
  </si>
  <si>
    <t>Battery Pack G-TAP A Series</t>
  </si>
  <si>
    <t>BAT-GTA00</t>
  </si>
  <si>
    <t>4056-2-5</t>
  </si>
  <si>
    <t>1GigaBPS-2SX in-line bypass module for GigaVUE-2404 (EOS Dec 31, 2016)</t>
  </si>
  <si>
    <t>BPS-GV6-G20020</t>
  </si>
  <si>
    <t>4056-2-9</t>
  </si>
  <si>
    <t>1GigaBPS-2LX in-line bypass module for GigaVUE-2404 (Special Order)</t>
  </si>
  <si>
    <t>BPS-GV6-G30020</t>
  </si>
  <si>
    <t>4056-2-13</t>
  </si>
  <si>
    <t>10GigaBPS-2SR in-line bypass module for GigaVUE-2404 (EOS Dec 31, 2016)</t>
  </si>
  <si>
    <t>BPS-GV6-X20020</t>
  </si>
  <si>
    <t>4056-2-17</t>
  </si>
  <si>
    <t>10GigaBPS-2LR in-line bypass module for GigaVUE-2404 (Special Order)</t>
  </si>
  <si>
    <t>BPS-GV6-X30020</t>
  </si>
  <si>
    <t>BPS-HC0-D25A4G-2-2a</t>
  </si>
  <si>
    <t>Bypass Combo Module, GigaVUE-HC2, 4 SX/SR 50/125 BPS pairs, 16 10G SFP+ cages</t>
  </si>
  <si>
    <t>BPS-HC0-D25A4G</t>
  </si>
  <si>
    <t>BPS-HC0-D25B4G-2-2a</t>
  </si>
  <si>
    <t>Bypass Combo Module, GigaVUE-HC2, 4 SX/SR 62.5/125 BPS pairs, 16 10G SFP+ cages</t>
  </si>
  <si>
    <t>BPS-HC0-D25B4G</t>
  </si>
  <si>
    <t>BPS-HC0-D35C4G-2-2a</t>
  </si>
  <si>
    <t>Bypass Combo Module, GigaVUE-HC2, 4 LX/LR BPS pairs, 16 10G SFP+ cages</t>
  </si>
  <si>
    <t>BPS-HC0-D35C4G</t>
  </si>
  <si>
    <t>4056-2-33</t>
  </si>
  <si>
    <t>Stacking Cable CX4 copper cable 5 meters</t>
  </si>
  <si>
    <t>CBL-005</t>
  </si>
  <si>
    <t>4056-2-37</t>
  </si>
  <si>
    <t>Stacking Cable CX4 copper cable 15 meters</t>
  </si>
  <si>
    <t>CBL-015</t>
  </si>
  <si>
    <t>CBL-205</t>
  </si>
  <si>
    <t>SFP+ to SFP+ Direct Attach Copper cable, 5 meters. Not TAA Compliant.</t>
  </si>
  <si>
    <t>4056-2-45</t>
  </si>
  <si>
    <t>SFP+ to SFP+ Direct Attach Copper cable 10 meters (nrf G-TAP A Series) (EOS)</t>
  </si>
  <si>
    <t>CBL-210</t>
  </si>
  <si>
    <t>CBL-310</t>
  </si>
  <si>
    <t>SFP+ Active Fiber Cable, 10 meters. Not TAA Compliant.</t>
  </si>
  <si>
    <t>4056-2-56</t>
  </si>
  <si>
    <t>Active Fiber cable, 5 meters (QSFP approved). TAA Compliant.</t>
  </si>
  <si>
    <t>CBL-405</t>
  </si>
  <si>
    <t>4056-2-60</t>
  </si>
  <si>
    <t>Active Fiber cable, 10 meters (QSFP approved). TAA Compliant.</t>
  </si>
  <si>
    <t>CBL-410</t>
  </si>
  <si>
    <t>4056-2-64</t>
  </si>
  <si>
    <t>Active Fiber cable, 50 meters (QSFP approved). TAA Compliant.</t>
  </si>
  <si>
    <t>CBL-450</t>
  </si>
  <si>
    <t>4056-2-68</t>
  </si>
  <si>
    <t>100 Gig CFP Multimode SR10</t>
  </si>
  <si>
    <t>CFP-502</t>
  </si>
  <si>
    <t>4056-2-72</t>
  </si>
  <si>
    <t>100 Gig CFP Singlemode LR4</t>
  </si>
  <si>
    <t>CFP-503</t>
  </si>
  <si>
    <t>CHS-GV400-2-2a</t>
  </si>
  <si>
    <t>Spare Chassis for GigaVUE-420, without Power Supplies</t>
  </si>
  <si>
    <t>CHS-GV400</t>
  </si>
  <si>
    <t>4056-2-83</t>
  </si>
  <si>
    <t>Spare Chassis for GigaVUE-2404 without Blades and Power Supplies</t>
  </si>
  <si>
    <t>CHS-GV600</t>
  </si>
  <si>
    <t>4056-2-87</t>
  </si>
  <si>
    <t>Spare Chassis for TA1 without Power Supplies</t>
  </si>
  <si>
    <t>CHS-HA100</t>
  </si>
  <si>
    <t>4056-2-91</t>
  </si>
  <si>
    <t>Spare Chassis for HB1 without Power Supplies</t>
  </si>
  <si>
    <t>CHS-HB100</t>
  </si>
  <si>
    <t>CHS-HC200-2</t>
  </si>
  <si>
    <t>Spare Chassis for HC2, without Modules, Control Cards, Fans, Power Supplies</t>
  </si>
  <si>
    <t>CHS-HC200</t>
  </si>
  <si>
    <t>CHS-HD400-2-2a</t>
  </si>
  <si>
    <t>Spare Chassis for HD4, without Blades, Control Card, Fans, Power Supplies (EOS)</t>
  </si>
  <si>
    <t>CHS-HD400</t>
  </si>
  <si>
    <t>CHS-HD800-2-2a</t>
  </si>
  <si>
    <t>Spare Chassis for HD8, without Blades, Control Cards, Fans, Power Supplies (EOS)</t>
  </si>
  <si>
    <t>CHS-HD800</t>
  </si>
  <si>
    <t>4056-2-107</t>
  </si>
  <si>
    <t>Advanced Features License, GigaVUE-TA1/10 and 10G Whitebox, per node. Perpetual</t>
  </si>
  <si>
    <t>CLS-TA100</t>
  </si>
  <si>
    <t>4056-2-114</t>
  </si>
  <si>
    <t>Control Card HC Series each. Perpetual</t>
  </si>
  <si>
    <t>CTL-HC0-001</t>
  </si>
  <si>
    <t>4056-2-118</t>
  </si>
  <si>
    <t>Control Card Version 2, HD Series, each (EOS Oct 31, 2018). Perpetual</t>
  </si>
  <si>
    <t>CTL-HD0-002</t>
  </si>
  <si>
    <t>4056-2-122</t>
  </si>
  <si>
    <t>GigaVUE -2404 Fan Assembly High Speed each (2 required) (Special Order)</t>
  </si>
  <si>
    <t>FAN-GV60S</t>
  </si>
  <si>
    <t>4056-2-126</t>
  </si>
  <si>
    <t>GigaVUE-HB1 Fan Assembly each (2 required)</t>
  </si>
  <si>
    <t>FAN-HB100</t>
  </si>
  <si>
    <t>FAN-HC200-2-2a</t>
  </si>
  <si>
    <t>GigaVUE-HC2 Fan Assembly, each (1 required)</t>
  </si>
  <si>
    <t>FAN-HC200</t>
  </si>
  <si>
    <t>4056-2-134</t>
  </si>
  <si>
    <t>GigaVUE-HD4 Fan Assembly, each (2 required) (EOS)</t>
  </si>
  <si>
    <t>FAN-HD400</t>
  </si>
  <si>
    <t>4056-2-138</t>
  </si>
  <si>
    <t>GigaVUE-HD8 Fan Assembly (EOS)</t>
  </si>
  <si>
    <t>FAN-HD800</t>
  </si>
  <si>
    <t>4056-2-142</t>
  </si>
  <si>
    <t>GigaVUE-HD8 Fan Assembly, S Style, (Special Order)  (EOS)</t>
  </si>
  <si>
    <t>FAN-HD80S</t>
  </si>
  <si>
    <t>4056-2-146</t>
  </si>
  <si>
    <t>GigaVUE-TA1 Fan Assembly each (2 required)</t>
  </si>
  <si>
    <t>FAN-TA100</t>
  </si>
  <si>
    <t>4056-2-150</t>
  </si>
  <si>
    <t>GigaVUE-HD4 Filter Assembly (EOS)</t>
  </si>
  <si>
    <t>FIL-HD400</t>
  </si>
  <si>
    <t>PCD-000R1-2-2a</t>
  </si>
  <si>
    <t>Spare Power Cord, right angle, 125VAC (recommended for GigaVUE HD Series)</t>
  </si>
  <si>
    <t>PCD-000R1</t>
  </si>
  <si>
    <t>PCD-000R3-2-2a</t>
  </si>
  <si>
    <t>Power Cord, right angle, EU plug (recommended for GigaVUE HD Series)</t>
  </si>
  <si>
    <t>PCD-000R3</t>
  </si>
  <si>
    <t>PCD-000R5-2-2a</t>
  </si>
  <si>
    <t>Power Cord, right angle, UK plug (recommended for GigaVUE HD Series)</t>
  </si>
  <si>
    <t>PCD-000R5</t>
  </si>
  <si>
    <t>PCD-000R7-2-2a</t>
  </si>
  <si>
    <t>Power Cord, right angle, AU plug (recommended for GigaVUE HD Series)</t>
  </si>
  <si>
    <t>PCD-000R7</t>
  </si>
  <si>
    <t>PCD-000R9-2-2a</t>
  </si>
  <si>
    <t>Power Cord, right angle, JP plug (recommended for GigaVUE HD Series)</t>
  </si>
  <si>
    <t>PCD-000R9</t>
  </si>
  <si>
    <t>4056-2-410</t>
  </si>
  <si>
    <t>Patch Panel, Optical,4xMPO to 16xLC-Duplex Multimode (for use with GigaVUE-TA1/TA10/TA40/TA100, Whitebox) (EOS Oct 31, 2018)</t>
  </si>
  <si>
    <t>PNL-0MMA0</t>
  </si>
  <si>
    <t>4056-2-417</t>
  </si>
  <si>
    <t>GigaPORT 4 port expansion module (EoS May 27, 2017 or while supplies last)</t>
  </si>
  <si>
    <t>PRT-400</t>
  </si>
  <si>
    <t>4056-2-421</t>
  </si>
  <si>
    <t>10 GigaPORT-5X3C, 5x10G fiber SFP+ plus 3xCX4 copper port expansion blade for GigaVUE-2404 (Special Order) (EOS Dec 31, 2016)</t>
  </si>
  <si>
    <t>PRT-435</t>
  </si>
  <si>
    <t>4056-2-154</t>
  </si>
  <si>
    <t>GigaVUE-HD8 Filter Assembly (EOS)</t>
  </si>
  <si>
    <t>FIL-HD800</t>
  </si>
  <si>
    <t>GFM-FM000-2-2a</t>
  </si>
  <si>
    <t>GigaVUE-FM Prime Edition, manage up to 1000 Physical Visibility Fabric Nodes, includes VMware NSX Manager Integration (GFM-VM-NSX) add-ons</t>
  </si>
  <si>
    <t>GFM-FM000</t>
  </si>
  <si>
    <t>GFM-VM010-2-2a</t>
  </si>
  <si>
    <t>GigaVUE-VM 10 Pack Bundle SW License Extension (EOS June 30, 2022)</t>
  </si>
  <si>
    <t>GFM-VM010</t>
  </si>
  <si>
    <t>GFM-VM050-2-2a</t>
  </si>
  <si>
    <t>GigaVUE-VM 50 Pack Bundle SW License Extension (EOS June 30, 2022)</t>
  </si>
  <si>
    <t>GFM-VM050</t>
  </si>
  <si>
    <t>GFM-VM100-2-2a</t>
  </si>
  <si>
    <t>GigaVUE-VM 100 Pack Bundle SW License Extension (EOS June 30, 2022)</t>
  </si>
  <si>
    <t>GFM-VM100</t>
  </si>
  <si>
    <t>GFM-VM250-2-2a</t>
  </si>
  <si>
    <t>GigaVUE-VM 250 Pack Bundle SW License Extension (EOS June 30, 2022)</t>
  </si>
  <si>
    <t>GFM-VM250</t>
  </si>
  <si>
    <t>4056-2-181</t>
  </si>
  <si>
    <t>GigaLINK-Cu -CX4 for GigaVUE-420, 10 Gig copper stacking port (EoS May 27, 2017 or while supplies last)</t>
  </si>
  <si>
    <t>GLK-311</t>
  </si>
  <si>
    <t>4056-2-423</t>
  </si>
  <si>
    <t>10 GigaPORT-5X3C, 5x10G fiber SFP+ plus 3xCX4 copper port expansion blade for GigaVUE-2404N, NEBS certified (Special Order) (EOS Dec 31, 2016)</t>
  </si>
  <si>
    <t>PRT-435N</t>
  </si>
  <si>
    <t>4056-2-429</t>
  </si>
  <si>
    <t>10 GigaPORT-8X, 8x10G fiber SFP+ port expansion blade for GigaVUE-2404 (EOS Dec 31, 2016)</t>
  </si>
  <si>
    <t>PRT-438</t>
  </si>
  <si>
    <t>4056-2-431</t>
  </si>
  <si>
    <t>10 GigaPORT-8X, 8x10G fiber SFP+ port expansion for GigaVUE-2404N, NEBS certified (EOS Dec 31, 2016)</t>
  </si>
  <si>
    <t>PRT-438N</t>
  </si>
  <si>
    <t>4056-2-437</t>
  </si>
  <si>
    <t>10 GigaPORT-8C 8x10G copper CX4 port clustering hub blade for GigaVUE-2404 (Special Order)</t>
  </si>
  <si>
    <t>PRT-439</t>
  </si>
  <si>
    <t>4056-2-439</t>
  </si>
  <si>
    <t>10 GigaPORT-8C, 8x10G copper CX4 port clustering hub blade for GigaVUE-2404N, NEBS certified  (Special Order) (EOS Dec 31, 2016)</t>
  </si>
  <si>
    <t>PRT-439N</t>
  </si>
  <si>
    <t>4056-2-445</t>
  </si>
  <si>
    <t>Port Blade, HD Series, 2x40G 32x10G (24 10G + 2 40G or 32 10G active)  (EOS Oct 31, 2018)</t>
  </si>
  <si>
    <t>PRT-H00-Q02X32</t>
  </si>
  <si>
    <t>4056-2-470</t>
  </si>
  <si>
    <t>Port Blade, HD Series, 4x10G 44x1G (EOS Oct 31, 2018)</t>
  </si>
  <si>
    <t>PRT-H00-X04G44</t>
  </si>
  <si>
    <t>4056-2-474</t>
  </si>
  <si>
    <t>Port Blade, HD Series, 12x10G 4x1G (EOS Oct 31, 2018)</t>
  </si>
  <si>
    <t>PRT-H00-X12G04</t>
  </si>
  <si>
    <t>4056-2-194</t>
  </si>
  <si>
    <t>GigaLINK-SFP+ for GigaVUE-420, empty SFP+ cage, 10 Gig port module (EoS May 27, 2017 or while supplies last)</t>
  </si>
  <si>
    <t>GLK-320</t>
  </si>
  <si>
    <t>4056-2-198</t>
  </si>
  <si>
    <t>GigaLINK-SR -SFP+ for GigaVUE-420, MM 850 10 Gig port module (EoS May 27, 2017 or while supplies last)</t>
  </si>
  <si>
    <t>GLK-322</t>
  </si>
  <si>
    <t>4056-2-202</t>
  </si>
  <si>
    <t>GigaLINK-LR -SFP+ for GigaVUE-420, SM 1310 10 Gig port module (EoS May 27, 2017 or while supplies last)</t>
  </si>
  <si>
    <t>GLK-323</t>
  </si>
  <si>
    <t>4056-2-206</t>
  </si>
  <si>
    <t>GigaLINK-ER -SFP+ for GigaVUE-420 SM 1550 10 Gig port module (Special Order)</t>
  </si>
  <si>
    <t>GLK-324</t>
  </si>
  <si>
    <t>4056-2-210</t>
  </si>
  <si>
    <t>GigaLINK-SFP+ LRM for GigaVUE-420 MM 1310 10 Gig port module (Special Order)</t>
  </si>
  <si>
    <t>GLK-325</t>
  </si>
  <si>
    <t>4056-2-214</t>
  </si>
  <si>
    <t>One Day On-Site Design Optimization Implementation Assistance includes travel (North America Only)</t>
  </si>
  <si>
    <t>GPS-PS8-NAO</t>
  </si>
  <si>
    <t>4056-2-218</t>
  </si>
  <si>
    <t>One Day Remote  Design Optimization Implementation Assistance Best suited for Staging and custom configuration assistance. (Available World Wide)</t>
  </si>
  <si>
    <t>GPS-PS8-WWR</t>
  </si>
  <si>
    <t>4056-2-222</t>
  </si>
  <si>
    <t>G-SECURE-0216 In-line distribution node Multimode AC power</t>
  </si>
  <si>
    <t>GSC-GMM01</t>
  </si>
  <si>
    <t>4056-2-226</t>
  </si>
  <si>
    <t>G-SECURE-0216 In-line distribution node Multimode DC power</t>
  </si>
  <si>
    <t>GSC-GMM02</t>
  </si>
  <si>
    <t>4056-2-230</t>
  </si>
  <si>
    <t>G-SECURE-0216 In-line distribution node Singlemode AC power</t>
  </si>
  <si>
    <t>GSC-GSM01</t>
  </si>
  <si>
    <t>4056-2-234</t>
  </si>
  <si>
    <t>G-SECURE-0216 In-line distribution node Singlemode DC power</t>
  </si>
  <si>
    <t>GSC-GSM02</t>
  </si>
  <si>
    <t>GTP-ASF00-2-2a</t>
  </si>
  <si>
    <t>G-TAP A Series, Always On SFP/SFP+ TAP, No Power</t>
  </si>
  <si>
    <t>GTP-ASF00</t>
  </si>
  <si>
    <t>GTP-ASF01-2-2a</t>
  </si>
  <si>
    <t>G-TAP A Series, Always On SFP/SFP+ TAP, AC Power (US Plug)</t>
  </si>
  <si>
    <t>GTP-ASF01</t>
  </si>
  <si>
    <t>GTP-ASF02-2-2a</t>
  </si>
  <si>
    <t>G-TAP A Series, Always On SFP/SFP+ TAP, DC Power</t>
  </si>
  <si>
    <t>GTP-ASF02</t>
  </si>
  <si>
    <t>GTP-ATX00-2-2a</t>
  </si>
  <si>
    <t>G-TAP A Series, Always On 10/100/1000M copper TAP, No Power</t>
  </si>
  <si>
    <t>GTP-ATX00</t>
  </si>
  <si>
    <t>GTP-ATX01-2-2a</t>
  </si>
  <si>
    <t>G-TAP A Series, Always On  10/100/1000M copper TAP, AC Power (US Plug)</t>
  </si>
  <si>
    <t>GTP-ATX01</t>
  </si>
  <si>
    <t>GTP-ATX02-2-2a</t>
  </si>
  <si>
    <t>G-TAP A Series, Always On  10/100/1000M copper TAP, DC Power</t>
  </si>
  <si>
    <t>GTP-ATX02</t>
  </si>
  <si>
    <t>4056-2-478</t>
  </si>
  <si>
    <t>Port Blade, HD Series, 12x10G Time Stamp (EOS Oct 31, 2018)</t>
  </si>
  <si>
    <t>PRT-H00-X12TS</t>
  </si>
  <si>
    <t>PRT-HC0-Q06-2-2a</t>
  </si>
  <si>
    <t>Port Module, GigaVUE-HC2, 6x40G QSFP+ cages</t>
  </si>
  <si>
    <t>PRT-HC0-Q06</t>
  </si>
  <si>
    <t>PRT-HC0-X24-2-2a</t>
  </si>
  <si>
    <t>Port Module, GigaVUE-HC2, 24x10G SFP+ cages</t>
  </si>
  <si>
    <t>PRT-HC0-X24</t>
  </si>
  <si>
    <t>4056-2-490</t>
  </si>
  <si>
    <t>Port Blade, HD Series, 1x100G (EOS Oct 31, 2018)</t>
  </si>
  <si>
    <t>PRT-HD0-C01</t>
  </si>
  <si>
    <t>4056-2-494</t>
  </si>
  <si>
    <t>Port Blade, HD Series, 2x100G CFP cages + 8x10G cages (EOS Oct 31, 2018)</t>
  </si>
  <si>
    <t>PRT-HD0-C02X08</t>
  </si>
  <si>
    <t>4056-2-498</t>
  </si>
  <si>
    <t>Port Blade, HD Series, 8x40G (EOS Oct 31, 2018)</t>
  </si>
  <si>
    <t>PRT-HD0-Q08</t>
  </si>
  <si>
    <t>4056-2-502</t>
  </si>
  <si>
    <t>Power Supply Canister, GigaVUE-HD4, AC (each) (EOS)</t>
  </si>
  <si>
    <t>PSC-HD401</t>
  </si>
  <si>
    <t>4056-2-506</t>
  </si>
  <si>
    <t>Power Supply Canister, GigaVUE-HD4, DC (each) (EOS)</t>
  </si>
  <si>
    <t>PSC-HD402</t>
  </si>
  <si>
    <t>4056-2-510</t>
  </si>
  <si>
    <t>Power Supply Canister, GigaVUE-HD8, AC (each) (EOS)</t>
  </si>
  <si>
    <t>PSC-HD801</t>
  </si>
  <si>
    <t>4056-2-514</t>
  </si>
  <si>
    <t>Power Supply Canister, GigaVUE-HD8, DC (each) (EOS)</t>
  </si>
  <si>
    <t>PSC-HD802</t>
  </si>
  <si>
    <t>4056-2-268</t>
  </si>
  <si>
    <t>GigaVUE-420  4 copper port, AC power (EoS May 27, 2017 or while supplies last)</t>
  </si>
  <si>
    <t>GVS-421</t>
  </si>
  <si>
    <t>4056-2-272</t>
  </si>
  <si>
    <t>GigaVUE-420  4 SFP Cages, AC power (EoS May 27, 2017 or while supplies last)</t>
  </si>
  <si>
    <t>GVS-422</t>
  </si>
  <si>
    <t>4056-2-276</t>
  </si>
  <si>
    <t>GigaVUE-420  4 copper port, DC power (EoS May 27, 2017 or while supplies last)</t>
  </si>
  <si>
    <t>GVS-423</t>
  </si>
  <si>
    <t>4056-2-280</t>
  </si>
  <si>
    <t>GigaVUE-420  4 SFP Cages, DC power (EoS May 27, 2017 or while supplies last)</t>
  </si>
  <si>
    <t>GVS-424</t>
  </si>
  <si>
    <t>4056-2-284</t>
  </si>
  <si>
    <t>GigaVUE-2404  8 10G ports, 4 1G ports, AC power (EOS Dec 31, 2016)</t>
  </si>
  <si>
    <t>GVS-432</t>
  </si>
  <si>
    <t>4056-2-286</t>
  </si>
  <si>
    <t>GigaVUE-2404N  8 10G ports, 4 1G ports, AC power, NEBS certified (EOS Dec 31, 2016)</t>
  </si>
  <si>
    <t>GVS-432N</t>
  </si>
  <si>
    <t>4056-2-292</t>
  </si>
  <si>
    <t>GigaVUE-2404  8 10G ports, 4 1G ports, DC power (EOS Dec 31, 2016)</t>
  </si>
  <si>
    <t>GVS-434</t>
  </si>
  <si>
    <t>4056-2-294</t>
  </si>
  <si>
    <t>GigaVUE-2404N  8 10G ports, 4 1G ports, DC power, NEBS certified (EOS Dec 31, 2016)</t>
  </si>
  <si>
    <t>GVS-434N</t>
  </si>
  <si>
    <t>PST-GTA01-2-2a</t>
  </si>
  <si>
    <t>Power Supply Tray, powers up to 8 RMT-GTA03 trays, AC Power</t>
  </si>
  <si>
    <t>PST-GTA01</t>
  </si>
  <si>
    <t>PST-GTA02-2-2a</t>
  </si>
  <si>
    <t>Power Supply Tray, powers up to 8 RMT-GTA03 trays, DC Power</t>
  </si>
  <si>
    <t>PST-GTA02</t>
  </si>
  <si>
    <t>4056-2-526</t>
  </si>
  <si>
    <t>110/240 V AC power supply module, HB1, 420, 212 or G-SECURE chassis (EOS)</t>
  </si>
  <si>
    <t>PWR-2AC</t>
  </si>
  <si>
    <t>4056-2-530</t>
  </si>
  <si>
    <t>-48 V DC power supply module, HB1, 420, 212 or G-SECURE chassis (EOS)</t>
  </si>
  <si>
    <t>PWR-2DC</t>
  </si>
  <si>
    <t>4056-2-534</t>
  </si>
  <si>
    <t>Single 110/240 V AC power supply module 2404 chassis</t>
  </si>
  <si>
    <t>PWR-3AC</t>
  </si>
  <si>
    <t>4056-2-538</t>
  </si>
  <si>
    <t>Single -48 V DC power supply module 2404 chassis</t>
  </si>
  <si>
    <t>PWR-3DC</t>
  </si>
  <si>
    <t>PWR-GTA01-2-2a</t>
  </si>
  <si>
    <t>Spare Power Supply Module, Requires G-TAP A Series Power Supply Tray, AC</t>
  </si>
  <si>
    <t>PWR-GTA01</t>
  </si>
  <si>
    <t>PWR-GTA02-2-2a</t>
  </si>
  <si>
    <t>Spare Power Supply Module, Requires G-TAP A Series Power Supply Tray, DC</t>
  </si>
  <si>
    <t>PWR-GTA02</t>
  </si>
  <si>
    <t>PWR-HC201-2-2a</t>
  </si>
  <si>
    <t>Power Supply Module, GigaVUE-HC2, AC</t>
  </si>
  <si>
    <t>PWR-HC201</t>
  </si>
  <si>
    <t>PWR-HC202-2-2a</t>
  </si>
  <si>
    <t>Power Supply Module, GigaVUE-HC2, DC</t>
  </si>
  <si>
    <t>PWR-HC202</t>
  </si>
  <si>
    <t>4056-2-558</t>
  </si>
  <si>
    <t>Power Supply Module GigaVUE-TA1 AC</t>
  </si>
  <si>
    <t>PWR-TA101</t>
  </si>
  <si>
    <t>4056-2-562</t>
  </si>
  <si>
    <t>Power Supply Module GigaVUE-TA1 DC</t>
  </si>
  <si>
    <t>PWR-TA102</t>
  </si>
  <si>
    <t>QSB-501-2-2a</t>
  </si>
  <si>
    <t>40G QSFP+ BiDi, Multimode SR RX-only. Not TAA Compliant.</t>
  </si>
  <si>
    <t>QSB-501</t>
  </si>
  <si>
    <t>QSF-502</t>
  </si>
  <si>
    <t>40G QSFP+, Multimode SR4. Not TAA Compliant.</t>
  </si>
  <si>
    <t>QSF-503</t>
  </si>
  <si>
    <t>40G QSFP+, Singlemode LR4. Not TAA Compliant.</t>
  </si>
  <si>
    <t>4056-2-578</t>
  </si>
  <si>
    <t>Optional Rear Mounting Bracket 45 cm for GigaVUE-TA1 or GigaVUE-HB1</t>
  </si>
  <si>
    <t>RMB-045</t>
  </si>
  <si>
    <t>4056-2-582</t>
  </si>
  <si>
    <t>Optional extra long Rear Mounting Bracket 65 cm</t>
  </si>
  <si>
    <t>RMB-065</t>
  </si>
  <si>
    <t>RMT-GTA03-2-2a</t>
  </si>
  <si>
    <t>Rack Mount Tray, 3-bay G-TAP A Series</t>
  </si>
  <si>
    <t>RMT-GTA03</t>
  </si>
  <si>
    <t>4056-2-593</t>
  </si>
  <si>
    <t>Contracted Support Services - yearly contracted fee for hardware and software support</t>
  </si>
  <si>
    <t>RNL-CSS-200</t>
  </si>
  <si>
    <t>SFP-501</t>
  </si>
  <si>
    <t>1G SFP, Copper, UTP with RJ45 interface. Not TAA Compliant.</t>
  </si>
  <si>
    <t>SFP-502</t>
  </si>
  <si>
    <t>1G SFP, Multimode SX. Not TAA Compliant.</t>
  </si>
  <si>
    <t>SFP-503</t>
  </si>
  <si>
    <t>1G SFP, Singlemode LX. Not TAA Compliant.</t>
  </si>
  <si>
    <t>4056-2-609</t>
  </si>
  <si>
    <t>1 Gig SFP Singlemode 1550 (Special Order)</t>
  </si>
  <si>
    <t>SFP-504</t>
  </si>
  <si>
    <t>SFP-532</t>
  </si>
  <si>
    <t>10G SFP+, Multimode SR. Not TAA Compliant.</t>
  </si>
  <si>
    <t>SFP-533</t>
  </si>
  <si>
    <t>10G SFP+, Singlemode LR. Not TAA Compliant.</t>
  </si>
  <si>
    <t>SFP-534</t>
  </si>
  <si>
    <t>10G SFP+, Singlemode ER. Not TAA Compliant. (Special Order)</t>
  </si>
  <si>
    <t>SFP-535</t>
  </si>
  <si>
    <t>10G SFP+, Multimode 1310nm LRM. Not TAA Compliant. (Special Order)</t>
  </si>
  <si>
    <t>4056-2-629</t>
  </si>
  <si>
    <t>GigaSMART 6 port 2404 blade only no licenses included on base model</t>
  </si>
  <si>
    <t>SMT-436</t>
  </si>
  <si>
    <t>4056-2-300</t>
  </si>
  <si>
    <t>GigaVUE-HB1-0416 branch node, 4 10G cages, 8 1G cages, 8 1G copper, 2 Fan Trays, Single AC power (EOS Jun 30, 2018)</t>
  </si>
  <si>
    <t>GVS-HB101-0416</t>
  </si>
  <si>
    <t>4056-2-304</t>
  </si>
  <si>
    <t>GigaVUE-HB1-0416 branch node, 4 10G cages, 8 1G cages, 8 1G copper, 2 Fan Trays, Single DC power (EOS Jun 30, 2018)</t>
  </si>
  <si>
    <t>GVS-HB102-0416</t>
  </si>
  <si>
    <t>4056-2-308</t>
  </si>
  <si>
    <t>GigaVUE-HC2 base unit w/ chassis Control Card 1 Fan Tray CLI 2 power supplies AC power</t>
  </si>
  <si>
    <t>GVS-HC201</t>
  </si>
  <si>
    <t>4056-2-312</t>
  </si>
  <si>
    <t>GigaVUE-HC2 base unit w/ chassis Control Card 1 Fan Tray CLI 2 power supplies DC power</t>
  </si>
  <si>
    <t>GVS-HC202</t>
  </si>
  <si>
    <t>4056-2-322</t>
  </si>
  <si>
    <t>GigaVUE-HD4 base unit w/ chassis, Version 2 Control Card, Fans, CLI, AC power (EOS Oct 31, 2018)</t>
  </si>
  <si>
    <t>GVS-HD4A1</t>
  </si>
  <si>
    <t>4056-2-326</t>
  </si>
  <si>
    <t>GigaVUE-HD4 base unit w/ chassis, Version 2 Control Card, Fans, CLI, DC power  (EOS Oct 31, 2018)</t>
  </si>
  <si>
    <t>GVS-HD4A2</t>
  </si>
  <si>
    <t>4056-2-336</t>
  </si>
  <si>
    <t>GigaVUE-HD8 base unit w/ chassis, 2 Version 2 Control Cards, Fans, CLI, AC power  (EOS Oct 31, 2018)</t>
  </si>
  <si>
    <t>GVS-HD8A1</t>
  </si>
  <si>
    <t>4056-2-340</t>
  </si>
  <si>
    <t>GigaVUE-HD8 base unit w/ chassis, 2 Version 2 Control Cards, Fans, CLI, DC power  (EOS Oct 31, 2018)</t>
  </si>
  <si>
    <t>GVS-HD8A2</t>
  </si>
  <si>
    <t>PBK-GTA01-2-2a</t>
  </si>
  <si>
    <t>Power Brick for G-TAP A Series (AC to DC transformer). Not TAA Compliant.</t>
  </si>
  <si>
    <t>PBK-GTA01</t>
  </si>
  <si>
    <t>PBK-GTA03-2-2a</t>
  </si>
  <si>
    <t>Power Brick for G-TAP A Series (AC to DC transformer), EU Plug. Not TAA Compliant. (EOS September 30, 2022)</t>
  </si>
  <si>
    <t>PBK-GTA03</t>
  </si>
  <si>
    <t>PBK-GTA05-2-2a</t>
  </si>
  <si>
    <t>Power Brick for G-TAP A Series (AC to DC transformer), UK Plug. Not TAA Compliant. (EOS September 30, 2022)</t>
  </si>
  <si>
    <t>PBK-GTA05</t>
  </si>
  <si>
    <t>PBK-GTA07-2-2a</t>
  </si>
  <si>
    <t>Power Brick for G-TAP A Series (AC to DC transformer), AU Plug. Not TAA Compliant. (EOS September 30, 2022)</t>
  </si>
  <si>
    <t>PBK-GTA07</t>
  </si>
  <si>
    <t>PCD-00001-2-2a</t>
  </si>
  <si>
    <t>Spare Power Cord, 125VAC</t>
  </si>
  <si>
    <t>PCD-00001</t>
  </si>
  <si>
    <t>PCD-00003-2-2a</t>
  </si>
  <si>
    <t>Power Cord, EU plug</t>
  </si>
  <si>
    <t>PCD-00003</t>
  </si>
  <si>
    <t>PCD-00005-2-2a</t>
  </si>
  <si>
    <t>Power Cord, UK plug</t>
  </si>
  <si>
    <t>PCD-00005</t>
  </si>
  <si>
    <t>PCD-00007-2-2a</t>
  </si>
  <si>
    <t>Power Cord, AU plug</t>
  </si>
  <si>
    <t>PCD-00007</t>
  </si>
  <si>
    <t>PCD-00009-2-2a</t>
  </si>
  <si>
    <t>Power Cord, JP plug</t>
  </si>
  <si>
    <t>PCD-00009</t>
  </si>
  <si>
    <t>TAP-HC0-D25BC0-2-2a</t>
  </si>
  <si>
    <t>TAP module, GigaVUE-HC2, SX/SR Internal TAP Module 62.5/125, 12 TAPs</t>
  </si>
  <si>
    <t>TAP-HC0-D25BC0</t>
  </si>
  <si>
    <t>TAP-HC0-D35CC0-2-2a</t>
  </si>
  <si>
    <t>TAP module, GigaVUE-HC2, LX/LR Internal TAP Module, 12 TAPs</t>
  </si>
  <si>
    <t>TAP-HC0-D35CC0</t>
  </si>
  <si>
    <t>TAP-HC0-G100C0-2-2a</t>
  </si>
  <si>
    <t>TAP and Bypass module, GigaVUE-HC2, 10/100/1000M Copper, 12 TAPs or Bypass pairs</t>
  </si>
  <si>
    <t>TAP-HC0-G100C0</t>
  </si>
  <si>
    <t>4056-2-461</t>
  </si>
  <si>
    <t>Upgrade option to enable all GigaVUE-TA1 ports (48 10G + 4 40G). Perpetual</t>
  </si>
  <si>
    <t>UPG-TA100</t>
  </si>
  <si>
    <t>4056-2-798</t>
  </si>
  <si>
    <t>Spare fan tray for 212 chassis or G-SECURE chassis (EOS)</t>
  </si>
  <si>
    <t>SVC-1FN</t>
  </si>
  <si>
    <t>4056-2-808</t>
  </si>
  <si>
    <t>Filter module 2404 chassis NEBS certified</t>
  </si>
  <si>
    <t>SVC-3FLN</t>
  </si>
  <si>
    <t>4056-2-812</t>
  </si>
  <si>
    <t>Fan module 2404 chassis</t>
  </si>
  <si>
    <t>SVC-3FN</t>
  </si>
  <si>
    <t>4056-2-814</t>
  </si>
  <si>
    <t>Fan module 2404 chassis NEBS certified</t>
  </si>
  <si>
    <t>SVC-3FNN</t>
  </si>
  <si>
    <t>4056-2-826</t>
  </si>
  <si>
    <t>Spare 2404 chassis with SFP cages; without power supplies and fans NEBS certified</t>
  </si>
  <si>
    <t>SVC-432N</t>
  </si>
  <si>
    <t>4056-2-830</t>
  </si>
  <si>
    <t>Spare 2404 slot 1 blade with SFP cages</t>
  </si>
  <si>
    <t>SVC-434</t>
  </si>
  <si>
    <t>4056-2-832</t>
  </si>
  <si>
    <t>Spare 2404 slot 1 blade with SFP cages NEBS certified</t>
  </si>
  <si>
    <t>SVC-434N</t>
  </si>
  <si>
    <t>4056-2-838</t>
  </si>
  <si>
    <t>Fan module 420 chassis</t>
  </si>
  <si>
    <t>SVC-FAN</t>
  </si>
  <si>
    <t>4056-2-842</t>
  </si>
  <si>
    <t>Spare 420 management module with 4 RJ45</t>
  </si>
  <si>
    <t>SVC-X21</t>
  </si>
  <si>
    <t>4056-2-846</t>
  </si>
  <si>
    <t>Spare 420 management module with 4 SFP cages</t>
  </si>
  <si>
    <t>SVC-X22</t>
  </si>
  <si>
    <t>TAP-200</t>
  </si>
  <si>
    <t>1/2 U chassis supports 123or 4 Dual Optical G-TAP Modules stand alone chassis 1/10G</t>
  </si>
  <si>
    <t>4056-2-860</t>
  </si>
  <si>
    <t>GigaTAP-TX copper tap module 2 taps per module 420 chassis</t>
  </si>
  <si>
    <t>TAP-201</t>
  </si>
  <si>
    <t>4056-2-864</t>
  </si>
  <si>
    <t>GigaTAP-SX 850nm Multimode tap module 2 taps per module 420 Chassis</t>
  </si>
  <si>
    <t>TAP-202</t>
  </si>
  <si>
    <t>4056-2-868</t>
  </si>
  <si>
    <t>GigaTAP-LX 1310nm Singlemode tap module 2 taps per module 420 Chassis (Special Order)</t>
  </si>
  <si>
    <t>TAP-203</t>
  </si>
  <si>
    <t>4056-2-872</t>
  </si>
  <si>
    <t>GigaTAP-ZX 1550nm Singlemode tap module 2 taps per module 420 Chassis (Special Order)</t>
  </si>
  <si>
    <t>TAP-204</t>
  </si>
  <si>
    <t>4056-2-885</t>
  </si>
  <si>
    <t>1GigaTAP-4SX for GigaVUE-2404 850nm Multimode tap blade with 4 taps</t>
  </si>
  <si>
    <t>TAP-222</t>
  </si>
  <si>
    <t>4056-2-887</t>
  </si>
  <si>
    <t>1GigaTAP-4SX for GigaVUE-2404 850nm Multimode tap blade with 4 taps NEBS certified</t>
  </si>
  <si>
    <t>TAP-222N</t>
  </si>
  <si>
    <t>4056-2-893</t>
  </si>
  <si>
    <t>1GigaTAP-4LX for GigaVUE-2404 1310nm Singlemode tap blade with 4 taps (Special Order)</t>
  </si>
  <si>
    <t>TAP-223</t>
  </si>
  <si>
    <t>4056-2-895</t>
  </si>
  <si>
    <t>1GigaTAP-4LX for GigaVUE-2404 1310nm Singlemode tap blade with 4 taps NEBS certified (Special Order)</t>
  </si>
  <si>
    <t>TAP-223N</t>
  </si>
  <si>
    <t>4056-2-901</t>
  </si>
  <si>
    <t>1GigaTAP-4ZX for GigaVUE-2404 1550nm Singlemode tap blade with 4 taps (Special Order)</t>
  </si>
  <si>
    <t>TAP-224</t>
  </si>
  <si>
    <t>4056-2-903</t>
  </si>
  <si>
    <t>1GigaTAP-4ZX for GigaVUE-2404 1550nm Singlemode tap blade with 4 taps NEBS certified (Special Order)</t>
  </si>
  <si>
    <t>TAP-224N</t>
  </si>
  <si>
    <t>4056-2-909</t>
  </si>
  <si>
    <t>10GigaTAP-4SR for GigaVUE-2404 850nm Multimode tap blade with 4 taps</t>
  </si>
  <si>
    <t>TAP-232</t>
  </si>
  <si>
    <t>4056-2-911</t>
  </si>
  <si>
    <t>10GigaTAP-4SR for GigaVUE-2404 850nm Multimode tap blade with 4 taps NEBS certified</t>
  </si>
  <si>
    <t>TAP-232N</t>
  </si>
  <si>
    <t>4056-2-917</t>
  </si>
  <si>
    <t>10GigaTAP-4LR for GigaVUE-2404 1310nm Singlemode tap blade with 4 taps</t>
  </si>
  <si>
    <t>TAP-233</t>
  </si>
  <si>
    <t>4056-2-919</t>
  </si>
  <si>
    <t>10GigaTAP-4LR for GigaVUE-2404 1310nm Singlemode tap blade with 4 taps NEBS certified</t>
  </si>
  <si>
    <t>TAP-233N</t>
  </si>
  <si>
    <t>4056-2-925</t>
  </si>
  <si>
    <t>10GigaTAP-4ER for GigaVUE-2404 1550nm Singlemode tap blade with 4 taps (Special Order)</t>
  </si>
  <si>
    <t>TAP-234</t>
  </si>
  <si>
    <t>4056-2-927</t>
  </si>
  <si>
    <t>10GigaTAP-4ER for GigaVUE-2404 1550nm Singlemode tap blade with 4 taps NEBS certified (Special Order)</t>
  </si>
  <si>
    <t>TAP-234N</t>
  </si>
  <si>
    <t>4056-2-933</t>
  </si>
  <si>
    <t>10GigaTAP-4LRM for GigaVUE-2404 1310nm Multimode tap blade with 4 taps (Special Order)</t>
  </si>
  <si>
    <t>TAP-235</t>
  </si>
  <si>
    <t>4056-2-935</t>
  </si>
  <si>
    <t>10GigaTAP-4LRM for GigaVUE-2404 1310nm Multimode tap blade with 4 taps NEBS certified (Special Order)</t>
  </si>
  <si>
    <t>TAP-235N</t>
  </si>
  <si>
    <t>4056-2-941</t>
  </si>
  <si>
    <t>GigaTAP-BPC In-Line Bypass Tap Copper 1Gig</t>
  </si>
  <si>
    <t>TAP-241</t>
  </si>
  <si>
    <t>4056-2-945</t>
  </si>
  <si>
    <t>Dual optical GigaTAP module 50/50 Multimode 850nm 50/125 micron fiber requires TAP-200 chassis 1/10G</t>
  </si>
  <si>
    <t>TAP-251</t>
  </si>
  <si>
    <t>TAP-252</t>
  </si>
  <si>
    <t>Dual optical GigaTAP module 50/50 Multimode 850nm 62.5/125 micron fiber requires TAP-200 chassis 1/10G</t>
  </si>
  <si>
    <t>4056-2-953</t>
  </si>
  <si>
    <t>Dual optical GigaTAP module 50/50 Singlemode 1310/1550nm requires TAP-200 chassis 1/10G</t>
  </si>
  <si>
    <t>TAP-253</t>
  </si>
  <si>
    <t>TAP-255</t>
  </si>
  <si>
    <t>Dual optical GigaTAP module 50/50 Multimode 1310nm LRM requires TAP-200 chassis 10G (Special Order)</t>
  </si>
  <si>
    <t>TAP-261</t>
  </si>
  <si>
    <t>Dual optical GigaTAP module 60/40 Multimode 850nm 50/125 micron fiber requires TAP-200 chassis 1/10G (Special Order)</t>
  </si>
  <si>
    <t>TAP-262</t>
  </si>
  <si>
    <t>Dual optical GigaTAP module 60/40 Multimode 850nm 62.5/125 micron fiber requires TAP-200 chassis 1/10G (Special Order)</t>
  </si>
  <si>
    <t>TAP-263</t>
  </si>
  <si>
    <t>Dual optical GigaTAP module 60/40 Singlemode 1310/1550nm requires TAP-200 chassis 10G (Special Order)</t>
  </si>
  <si>
    <t>4056-2-973</t>
  </si>
  <si>
    <t>Dual optical GigaTAP module 70/30 Multimode 850nm 50/125 micron fiber requires TAP-200 chassis 1G(nrf 10G)</t>
  </si>
  <si>
    <t>TAP-271</t>
  </si>
  <si>
    <t>TAP-272</t>
  </si>
  <si>
    <t>Dual optical GigaTAP module 70/30 Multimode 850nm 62.5/125 micron fiber requires TAP-200 chassis1G (nrf 10G)</t>
  </si>
  <si>
    <t>4056-2-981</t>
  </si>
  <si>
    <t>Dual optical GigaTAP module 70/30 Singlemode 1310/1550nm requires TAP-200 chassis 1/10G (Special Order)</t>
  </si>
  <si>
    <t>TAP-273</t>
  </si>
  <si>
    <t>TAP-275</t>
  </si>
  <si>
    <t>Dual optical GigaTAP module 70/30 Multimode 1310nm LRM requires TAP-200 chassis10G (Special Order)</t>
  </si>
  <si>
    <t>4056-2-989</t>
  </si>
  <si>
    <t>Dual optical HighFlow GigaTAP module 50/50 Singlemode 1310/1550nm requires TAP-200 chassis 10/40/100G (Special Order)</t>
  </si>
  <si>
    <t>TAP-453</t>
  </si>
  <si>
    <t>4056-2-993</t>
  </si>
  <si>
    <t>1 RU BiDi TAP stand alone chassis supports up to 3 BiDi modules</t>
  </si>
  <si>
    <t>TAP-500</t>
  </si>
  <si>
    <t>4056-2-995</t>
  </si>
  <si>
    <t>3 RU BiDi TAP extended stand alone chassis supports up to 13 BiDi modules</t>
  </si>
  <si>
    <t>TAP-500E</t>
  </si>
  <si>
    <t>4056-2-1001</t>
  </si>
  <si>
    <t>Optical G-TAP BiDi module 50/50 SR requires TAP-500 or TAP-500E chassis</t>
  </si>
  <si>
    <t>TAP-506</t>
  </si>
  <si>
    <t>FAN-TAXQ0-2-2a</t>
  </si>
  <si>
    <t>GigaVUE-TA10, TA40, HC1 fan assembly, each (2 required on TA10, 3 on TA40 and HC1)</t>
  </si>
  <si>
    <t>FAN-TAXQ0</t>
  </si>
  <si>
    <t>PWR-TAXQ1-2-2a</t>
  </si>
  <si>
    <t>Power Supply Module, GigaVUE-TA10, TA40 or HC1, AC, each</t>
  </si>
  <si>
    <t>PWR-TAXQ1</t>
  </si>
  <si>
    <t>PWR-TAXQ2-2-2a</t>
  </si>
  <si>
    <t>Power Supply Module, GigaVUE-TA10, TA40, TA100 or HC1, DC, each</t>
  </si>
  <si>
    <t>PWR-TAXQ2</t>
  </si>
  <si>
    <t>TAP-M200-2-2a</t>
  </si>
  <si>
    <t>G-TAP M Series 1 RU chassis. Supports up to 6 M Series TAP modules. Not TAA Compliant.</t>
  </si>
  <si>
    <t>TAP-M200</t>
  </si>
  <si>
    <t>TAP-M253</t>
  </si>
  <si>
    <t>G-TAP M Series 1/10/40/100 Gb TAP module, 50/50 Singlemode, 1310/1550 nm, taps 6 1/10/40/100G links, requires TAP-M200 chassis. Not TAA Compliant.</t>
  </si>
  <si>
    <t>TAP-M273</t>
  </si>
  <si>
    <t>G-TAP M Series 1/10Gb TAP module, 70/30 Singlemode, 1310/1550 nm, taps 6 1/10G links, requires TAP-M200 chassis. Not TAA Compliant.</t>
  </si>
  <si>
    <t>4056-2-1310</t>
  </si>
  <si>
    <t>Advanced Features License, GigaVUE-TA40, per node. Perpetual</t>
  </si>
  <si>
    <t>CLS-TAQ00</t>
  </si>
  <si>
    <t>TAP-M453</t>
  </si>
  <si>
    <t>G-TAP M Series 40/100Gb TAP module, 50/50 Singlemode, taps 6 40/100G LR4 links, requires TAP-M200 chassis</t>
  </si>
  <si>
    <t>TAP-M473</t>
  </si>
  <si>
    <t>G-TAP M Series 40/100Gb TAP module, 70/30 Singlemode, taps 6 40/100G LR4 links, requires TAP-M200 chassis. Not TAA Compliant.</t>
  </si>
  <si>
    <t>TAP-M251</t>
  </si>
  <si>
    <t>G-TAP M Series 1/10Gb TAP module, 50/50 Multimode, 850 nm, 50/125 micron fiber, taps 6 1/10G links, requires TAP-M200 chassis</t>
  </si>
  <si>
    <t>TAP-M271</t>
  </si>
  <si>
    <t>G-TAP M Series 1/10Gb TAP module, 70/30 Multimode, 850 nm, 50/125 micron fiber, taps 6 1/10G links, requires TAP-M200 chassis</t>
  </si>
  <si>
    <t>4056-2-1318</t>
  </si>
  <si>
    <t>GigaSMART, HD Series, Application Session Filtering feature license per GigaSMART blade; requires SMT-HD0-APF (EOS Oct 31, 2018). Perpetual</t>
  </si>
  <si>
    <t>SMT-HD0-ASF</t>
  </si>
  <si>
    <t>TAP-M451</t>
  </si>
  <si>
    <t>G-TAP M Series 40Gb TAP module, 50/50 Multimode, 850 nm, MPO fiber, taps 3 40G SR4 links, requires TAP-M200 chassis</t>
  </si>
  <si>
    <t>4056-2-1342</t>
  </si>
  <si>
    <t>GigaVUE-TA10 edge node, 4 40G cages + 48 10G cages, 2 power supplies, 2 Fan trays, AC power</t>
  </si>
  <si>
    <t>GVS-TAX01</t>
  </si>
  <si>
    <t>4056-2-1343</t>
  </si>
  <si>
    <t>GigaVUE-TA10 edge node, 4 40G cages + 48 10G cages, 2 power supplies, 2 Fan trays, DC power</t>
  </si>
  <si>
    <t>GVS-TAX02</t>
  </si>
  <si>
    <t>4056-2-1344</t>
  </si>
  <si>
    <t>GigaVUE-TA40 node, 32 40G QSFP+ cages, 2 power supplies, 3 fan trays, AC power; all ports enabled</t>
  </si>
  <si>
    <t>GVS-TAQ01</t>
  </si>
  <si>
    <t>4056-2-1345</t>
  </si>
  <si>
    <t>GigaVUE-TA40 node, 32 40G QSFP+ cages, 2 power supplies, 3 fan trays, DC power; all ports enabled</t>
  </si>
  <si>
    <t>GVS-TAQ02</t>
  </si>
  <si>
    <t>4056-2-1348</t>
  </si>
  <si>
    <t>100 Gig CFP2, Singlemode LR4</t>
  </si>
  <si>
    <t>CF2-503</t>
  </si>
  <si>
    <t>4056-2-1349</t>
  </si>
  <si>
    <t>Port Blade, HD Series, 2x100G CFP2 cages + 8x10G cages (EOS Oct 31, 2018)</t>
  </si>
  <si>
    <t>PRT-HD0-C02X08A</t>
  </si>
  <si>
    <t>GVS-TAC01-2</t>
  </si>
  <si>
    <t>GigaVUE-TA100 node, 32 100G QSFP28 cages, 2 power supplies, 3 fan trays, AC power; 16 ports enabled (EOS Feb 28, 2022)</t>
  </si>
  <si>
    <t>GVS-TAC01</t>
  </si>
  <si>
    <t>GVS-TAC02-2</t>
  </si>
  <si>
    <t>GigaVUE-TA100 node, 32 100G QSFP28 cages, 2 power supplies, 3 fan trays, DC power; 16 ports enabled (EOS Feb 28, 2022)</t>
  </si>
  <si>
    <t>GVS-TAC02</t>
  </si>
  <si>
    <t>4056-2-1329</t>
  </si>
  <si>
    <t>Port Blade, HD Series, 6x100G QSFP28 cages + 24x10G cages (EOS Oct 31, 2018)</t>
  </si>
  <si>
    <t>PRT-HD0-C06X24</t>
  </si>
  <si>
    <t>PRT-HC0-C02-2-2a</t>
  </si>
  <si>
    <t>Port Module, GigaVUE-HC2, 2x100G QSFP28 cages. Requires Control Card Version 2</t>
  </si>
  <si>
    <t>PRT-HC0-C02</t>
  </si>
  <si>
    <t>Q28-502</t>
  </si>
  <si>
    <t>100G QSFP28, Multimode SR4. Not TAA Compliant.</t>
  </si>
  <si>
    <t>Accessories</t>
  </si>
  <si>
    <t>Q28-503</t>
  </si>
  <si>
    <t>100G QSFP28, Singlemode LR4. Not TAA Compliant.</t>
  </si>
  <si>
    <t>GVS-HC2A1-2-2a</t>
  </si>
  <si>
    <t>GigaVUE-HC2 base chassis, Control Card Version 2, 1 Fan Tray, CLI,  2 power supplies, AC power</t>
  </si>
  <si>
    <t>GVS-HC2A1</t>
  </si>
  <si>
    <t>GVS-HC2A2-2-2a</t>
  </si>
  <si>
    <t>GigaVUE-HC2 base chassis, Control Card Version 2, 1 Fan Tray, CLI,  2 power supplies, DC power</t>
  </si>
  <si>
    <t>GVS-HC2A2</t>
  </si>
  <si>
    <t>GFM-VM-NSX-2-2a</t>
  </si>
  <si>
    <t>GigaVUE-FM add-on for VMware NSX Manager Integration, optional add-on for GFM-FM005 and GFM-FM010 licenses (EOS June 30, 2022)</t>
  </si>
  <si>
    <t>GFM-VM-NSX</t>
  </si>
  <si>
    <t>QSF-502-10P</t>
  </si>
  <si>
    <t>10 pack of 40G QSFP+, Multimode SR4. Not TAA Compliant.</t>
  </si>
  <si>
    <t>QSF-503-5P</t>
  </si>
  <si>
    <t>5 pack of 40G QSFP+, Singlemode LR4. Not TAA Compliant.</t>
  </si>
  <si>
    <t>SFP-532-20P</t>
  </si>
  <si>
    <t>20 pack of 10Gb SFP+, Multimode SR. Not TAA Compliant.</t>
  </si>
  <si>
    <t>SFP-533-20P</t>
  </si>
  <si>
    <t>20 pack of 10Gb SFP+, Singlemode LR. Not TAA Compliant.</t>
  </si>
  <si>
    <t>4056-2-1341</t>
  </si>
  <si>
    <t>GigaVUE-TA10 edge node, 24 10G ports enabled, 2 power supplies, 2 Fan trays, AC power</t>
  </si>
  <si>
    <t>GVS-TAX01A</t>
  </si>
  <si>
    <t>4056-2-1860</t>
  </si>
  <si>
    <t>GigaVUE-TA10 edge node, 24 10G ports enabled, 2 power supplies, 2 Fan trays, DC power</t>
  </si>
  <si>
    <t>GVS-TAX02A</t>
  </si>
  <si>
    <t>4056-2-1861</t>
  </si>
  <si>
    <t>Upgrade option for GVS-TAX01A/TAX02A to enable all GigaVUE-TA10 ports (48 10G + 4 40G). Perpetual</t>
  </si>
  <si>
    <t>UPG-TAX00</t>
  </si>
  <si>
    <t>4056-2-1005</t>
  </si>
  <si>
    <t>10GigaTap-SR optical Multimode 850nm 10Gig TAP module 420 Chassis</t>
  </si>
  <si>
    <t>TAP-GV4-X25B10</t>
  </si>
  <si>
    <t>4056-2-1009</t>
  </si>
  <si>
    <t>10GigaTap-LR optical Singlemode 1310nm 10Gig TAP module 420 Chassis (Special Order)</t>
  </si>
  <si>
    <t>TAP-GV4-X35C10</t>
  </si>
  <si>
    <t>4056-2-1321</t>
  </si>
  <si>
    <t>10GigaTap-ER optical Singlemode 1550nm 10Gig TAP module 420 Chassis  (Special Order)</t>
  </si>
  <si>
    <t>TAP-GV4-X45D10</t>
  </si>
  <si>
    <t>TAP-HC0-D25AC0-2-2a</t>
  </si>
  <si>
    <t>TAP module, GigaVUE-HC2, SX/SR Internal TAP Module 50/125, 12 TAPs</t>
  </si>
  <si>
    <t>TAP-HC0-D25AC0</t>
  </si>
  <si>
    <t>4056-2-1364</t>
  </si>
  <si>
    <t>10 pack of 40 Gig QSFP+, Multimode SR4</t>
  </si>
  <si>
    <t>QSF-502-10P-1</t>
  </si>
  <si>
    <t>4056-2-1365</t>
  </si>
  <si>
    <t>5 pack of 40 Gig QSFP+, Singlemode LR4</t>
  </si>
  <si>
    <t>QSF-503-5P-1</t>
  </si>
  <si>
    <t>4056-2-1366</t>
  </si>
  <si>
    <t>20 pack of 10Gb SFP+, Multimode 850 nm SR</t>
  </si>
  <si>
    <t>SFP-532-20P-1</t>
  </si>
  <si>
    <t>4056-2-1367</t>
  </si>
  <si>
    <t>20 pack of 10Gb SFP+, Singlemode 1310 nm LR</t>
  </si>
  <si>
    <t>SFP-533-20P-1</t>
  </si>
  <si>
    <t>4056-2-1862</t>
  </si>
  <si>
    <t>Upgrade option to enable 24 GigaVUE-TA100 ports (24 100G) (EOS Feb 28, 2022)</t>
  </si>
  <si>
    <t>UPG-TAC24</t>
  </si>
  <si>
    <t>4056-2-1863</t>
  </si>
  <si>
    <t>Upgrade option to enable 32 GigaVUE-TA100 ports (32 100G); requires UPG-TAC24 (EOS Feb 28, 2022)</t>
  </si>
  <si>
    <t>UPG-TAC32</t>
  </si>
  <si>
    <t>4056-2-1436</t>
  </si>
  <si>
    <t>Advanced Features License, GigaVUE-TA100, per node (EOS Feb 28, 2022)</t>
  </si>
  <si>
    <t>CLS-TAC00</t>
  </si>
  <si>
    <t>GVS-TACX1</t>
  </si>
  <si>
    <t>GigaVUE-TA100 node, 20 100G CXP cages, 8 QSFP28 cages, 2 power supplies, 3 fan trays, AC power, all ports enabled. (EOS May 31, 2021)</t>
  </si>
  <si>
    <t>GVS-TACX2</t>
  </si>
  <si>
    <t>GigaVUE-TA100 node, 20 100G CXP cages, 8 QSFP28 cages, 2 power supplies, 3 fan trays, DC power, all ports enabled. (EOS May 31, 2021)</t>
  </si>
  <si>
    <t>BPS-HC1-D25A24-2-2a</t>
  </si>
  <si>
    <t>Bypass Combo Module, GigaVUE-HC1, 2 SX/SR 50/125 BPS pairs, 4 10G SFP+ cages</t>
  </si>
  <si>
    <t>BPS-HC1-D25A24</t>
  </si>
  <si>
    <t>SMT-HC1-FVU-2-2a</t>
  </si>
  <si>
    <t>GigaSMART, GigaVUE-HC1 license, FlowVUE feature license</t>
  </si>
  <si>
    <t>SMT-HC1-FVU</t>
  </si>
  <si>
    <t>SMT-HC1-APF-2-2a</t>
  </si>
  <si>
    <t>GigaSMART, GigaVUE-HC1 license, Adaptive Packet Filtering feature</t>
  </si>
  <si>
    <t>SMT-HC1-APF</t>
  </si>
  <si>
    <t>SMT-HC1-ASF</t>
  </si>
  <si>
    <t>GigaSMART, GigaVUE-HC1 license, Application Session Filtering feature license; requires SMT-HC1-APF. (EOS May 31, 2021). Perpetual</t>
  </si>
  <si>
    <t>SMT-HC1-SSL-2-2a</t>
  </si>
  <si>
    <t>GigaSMART, GigaVUE-HC1, SSL Decryption for Out of Band Tools Feature License</t>
  </si>
  <si>
    <t>SMT-HC1-SSL</t>
  </si>
  <si>
    <t>BPS-HC0-Q25A28-2-2a</t>
  </si>
  <si>
    <t>Bypass Combo Module, GigaVUE-HC2, 2 40G SR4 BPS pairs, 8 10G SFP+ cages</t>
  </si>
  <si>
    <t>BPS-HC0-Q25A28</t>
  </si>
  <si>
    <t>SMT-HC0-INSSL-2-2a</t>
  </si>
  <si>
    <t>GigaSMART, GigaVUE-HC2, SSL Decryption for Inline and Out of Band Tools Feature License per GigaSMART module</t>
  </si>
  <si>
    <t>SMT-HC0-INSSL</t>
  </si>
  <si>
    <t>SMT-HC0-UPGINSSL-2-2a</t>
  </si>
  <si>
    <t>GigaSMART, GigaVUE-HC2, SSL Decryption Upgrade for Inline Tools Feature License per GigaSMART module</t>
  </si>
  <si>
    <t>SMT-HC0-UPGINSSL</t>
  </si>
  <si>
    <t>GVS-HC301</t>
  </si>
  <si>
    <t>GigaVUE-HC3 base unit w/ chassis, Control Card, 5 Fan Modules, CLI, 2 power supplies, AC power</t>
  </si>
  <si>
    <t>GVS-HC302</t>
  </si>
  <si>
    <t>GigaVUE-HC3 base unit w/ chassis, Control Card, 5 Fan Modules, CLI, 2 power supplies, DC power</t>
  </si>
  <si>
    <t>PRT-HC3-C08Q08-2-2a</t>
  </si>
  <si>
    <t>Port Module, GigaVUE-HC3, 8x100G QSFP28 cages and 8x40G QSFP+ cages</t>
  </si>
  <si>
    <t>PRT-HC3-C08Q08</t>
  </si>
  <si>
    <t>PRT-HC3-X24-2-2a</t>
  </si>
  <si>
    <t>Port Module, GigaVUE-HC3, 24x10G SFP+ cages</t>
  </si>
  <si>
    <t>PRT-HC3-X24</t>
  </si>
  <si>
    <t>SMT-HC3-C05-2-2a</t>
  </si>
  <si>
    <t>GigaSMART, GigaVUE-HC3, Module, 5x100G QSFP28 cages (includes Slicing, Masking, Source Port &amp; GigaVUE Tunneling De-Encapsulation SW)</t>
  </si>
  <si>
    <t>SMT-HC3-C05</t>
  </si>
  <si>
    <t>SMT-HC3-DD1-2-2a</t>
  </si>
  <si>
    <t>GigaSMART, GigaVUE-HC3, De-Duplication feature license per GigaSMART module</t>
  </si>
  <si>
    <t>SMT-HC3-DD1</t>
  </si>
  <si>
    <t>SMT-HC3-HS1-2-2a</t>
  </si>
  <si>
    <t>GigaSMART, GigaVUE-HC3, Header Stripping feature license per GigaSMART module</t>
  </si>
  <si>
    <t>SMT-HC3-HS1</t>
  </si>
  <si>
    <t>SMT-HC3-AT1-2-2a</t>
  </si>
  <si>
    <t>GigaSMART, GigaVUE-HC3, Advanced Tunneling feature license per GigaSMART module</t>
  </si>
  <si>
    <t>SMT-HC3-AT1</t>
  </si>
  <si>
    <t>SMT-HC3-FVU-2-2a</t>
  </si>
  <si>
    <t>GigaSMART, GigaVUE-HC3, FlowVUE feature license per GigaSMART module</t>
  </si>
  <si>
    <t>SMT-HC3-FVU</t>
  </si>
  <si>
    <t>SMT-HC3-APF-2-2a</t>
  </si>
  <si>
    <t>GigaSMART, GigaVUE-HC3, Adaptive Packet Filtering feature license per GigaSMART module</t>
  </si>
  <si>
    <t>SMT-HC3-APF</t>
  </si>
  <si>
    <t>SMT-HC3-ASF</t>
  </si>
  <si>
    <t>GigaSMART, GigaVUE-HC3, Application Session Filtering feature license per GigaSMART module; requires SMT-HC3-APF. (EOS May 31, 2021). Perpetual</t>
  </si>
  <si>
    <t>SMT-HC3-NF1-2-2a</t>
  </si>
  <si>
    <t>GigaSMART, GigaVUE-HC3, NetFlow Generation feature license per GigaSMART module</t>
  </si>
  <si>
    <t>SMT-HC3-NF1</t>
  </si>
  <si>
    <t>SMT-HC3-SSL-2-2a</t>
  </si>
  <si>
    <t>GigaSMART, GigaVUE-HC3, SSL Decryption for Out of Band Tools Feature License per GigaSMART module</t>
  </si>
  <si>
    <t>SMT-HC3-SSL</t>
  </si>
  <si>
    <t>SMT-HC3-GTPMAX-2-2a</t>
  </si>
  <si>
    <t>GigaSMART, GigaVUE-HC3, GTP Filtering &amp; Correlation feature license per GigaSMART module, Maximum subscribers</t>
  </si>
  <si>
    <t>SMT-HC3-GTPMAX</t>
  </si>
  <si>
    <t>TAP-M471</t>
  </si>
  <si>
    <t>G-TAP M Series 40/100Gb TAP module, 70/30 Multimode, 850 nm, MPO fiber, taps 3 40/100G SR4 links, requires TAP-M200 chassis. Not TAA Compliant.</t>
  </si>
  <si>
    <t>PNL-M343</t>
  </si>
  <si>
    <t>G-TAP M Series Breakout Panel, 3xMPO to 12xLC duplex Singlemode, requires TAP-M200 chassis. Not TAA Compliant.</t>
  </si>
  <si>
    <t>GFM-AZU-100-2</t>
  </si>
  <si>
    <t>Monthly Term license for traffic visibility up to 100 virtual TAP Points in Azure. Min Term is 12 months. Includes bundled Elite Support (EOS June 30, 2022)</t>
  </si>
  <si>
    <t>GFM-AZU-100</t>
  </si>
  <si>
    <t>GFM-AZU-1000-2</t>
  </si>
  <si>
    <t>Monthly Term license for traffic visibility up to 1000 virtual TAP Points in Azure. Min Term is 12 months. Includes bundled Elite Support (EOS June 30, 2022)</t>
  </si>
  <si>
    <t>GFM-AZU-1000</t>
  </si>
  <si>
    <t>QSF-504</t>
  </si>
  <si>
    <t>40G QSFP+, Singlemode ER4. Not TAA Compliant.</t>
  </si>
  <si>
    <t>FAN-TAC20-2-2a</t>
  </si>
  <si>
    <t>GigaVUE-TA200 Fan Assembly, each (4 required)</t>
  </si>
  <si>
    <t>FAN-TAC20</t>
  </si>
  <si>
    <t>SMT-HC1-INSSL-2-2a</t>
  </si>
  <si>
    <t>GigaSMART, GigaVUE-HC1, SSL Decryption for Inline and Out of Band Tools Feature License</t>
  </si>
  <si>
    <t>SMT-HC1-INSSL</t>
  </si>
  <si>
    <t>SMT-HC1-UPGINSSL-2-2a</t>
  </si>
  <si>
    <t>GigaSMART, GigaVUE-HC1, SSL Decryption Upgrade for Inline Tools Feature License per GigaSMART module</t>
  </si>
  <si>
    <t>SMT-HC1-UPGINSSL</t>
  </si>
  <si>
    <t>BPS-HC3-C25F2G-2-2a</t>
  </si>
  <si>
    <t>Bypass Combo Module, GigaVUE-HC3, 2  40/100Gb SR4 BPS pairs, 16 10G SFP+ cages</t>
  </si>
  <si>
    <t>BPS-HC3-C25F2G</t>
  </si>
  <si>
    <t>SMT-HC3-INSSL-2-2a</t>
  </si>
  <si>
    <t>GigaSMART, GigaVUE-HC3, SSL Decryption for Inline and Out of Band Tools Feature License per GigaSMART module</t>
  </si>
  <si>
    <t>SMT-HC3-INSSL</t>
  </si>
  <si>
    <t>GVS-HC3A1-2-2a</t>
  </si>
  <si>
    <t>GigaVUE-HC3 base unit w/ chassis, Control Card v2, 5 Fan Modules, CLI,  2 power supplies, AC power</t>
  </si>
  <si>
    <t>GVS-HC3A1</t>
  </si>
  <si>
    <t>GVS-HC3A2-2-2a</t>
  </si>
  <si>
    <t>GigaVUE-HC3 base unit w/ chassis, Control Card v2, 5 Fan Modules, CLI,  2 power supplies, DC power</t>
  </si>
  <si>
    <t>GVS-HC3A2</t>
  </si>
  <si>
    <t>PRT-HC3-C16-2-2a</t>
  </si>
  <si>
    <t>Port Module, GigaVUE-HC3, 16x100G QSFP28 cages.  Requires Control Card Version 2</t>
  </si>
  <si>
    <t>PRT-HC3-C16</t>
  </si>
  <si>
    <t>GVS-TAC21-2-2a</t>
  </si>
  <si>
    <t>GigaVUE-TA200 node, 64 100G QSFP28 cages, 2 power supplies, 4 fan trays, AC power; 32 ports enabled</t>
  </si>
  <si>
    <t>GVS-TAC21</t>
  </si>
  <si>
    <t>GVS-TAC22-2-2a</t>
  </si>
  <si>
    <t>GigaVUE-TA200 node, 64 100G QSFP28 cages, 2 power supplies, 4 fan trays, DC power; 32 ports enabled</t>
  </si>
  <si>
    <t>GVS-TAC22</t>
  </si>
  <si>
    <t>UPG-TAC20-2-2a</t>
  </si>
  <si>
    <t>Upgrade option for GigaVUE-TA200 to enable all 64 100G ports</t>
  </si>
  <si>
    <t>UPG-TAC20</t>
  </si>
  <si>
    <t>SMT-HC0-SIP10-2-2a</t>
  </si>
  <si>
    <t>GigaSMART, GigaVUE-HC2, SIP &amp; RTP Correlation feature license per GigaSMART module, 10K sessions</t>
  </si>
  <si>
    <t>SMT-HC0-SIP10</t>
  </si>
  <si>
    <t>SMT-HC0-SIPMAX-2-2a</t>
  </si>
  <si>
    <t>GigaSMART, GigaVUE-HC2, SIP &amp; RTP Correlation feature license per GigaSMART module, maximum sessions</t>
  </si>
  <si>
    <t>SMT-HC0-SIPMAX</t>
  </si>
  <si>
    <t>PWR-TAC21-2-2a</t>
  </si>
  <si>
    <t>Power Supply Module, GigaVUE-TA200, AC</t>
  </si>
  <si>
    <t>PWR-TAC21</t>
  </si>
  <si>
    <t>PWR-TAC22-2-2a</t>
  </si>
  <si>
    <t>Power Supply Module, GigaVUE-TA200, DC</t>
  </si>
  <si>
    <t>PWR-TAC22</t>
  </si>
  <si>
    <t>GPS-PSR-KDA-1</t>
  </si>
  <si>
    <t>KICK START Remote Design and Deployment assistance, used w/in 6 months of services kick off date.</t>
  </si>
  <si>
    <t>GPS-PSR-KDA</t>
  </si>
  <si>
    <t>GPS-PSO-WDA-2-2a</t>
  </si>
  <si>
    <t>Gigamon On-site PS work-day, used within 6 months of services kick off date. 
Gigamon On-site work-day used as needed for design, deploy, maintain, or optimize activity.
*includes up to 1 (one) 8-hour regular time working day of on-site assistance at th</t>
  </si>
  <si>
    <t>GPS-PSO-WDA</t>
  </si>
  <si>
    <t>GPS-PSR-CDA-1</t>
  </si>
  <si>
    <t>COMPACT Remote Design and Deployment assistance, used within 6 months of services kick off date.</t>
  </si>
  <si>
    <t>GPS-PSR-CDA</t>
  </si>
  <si>
    <t>GPS-PSO-CDA-1</t>
  </si>
  <si>
    <t>COMPACT Onsite Design and Deployment assistance, used within 6 months of services kick off date.</t>
  </si>
  <si>
    <t>GPS-PSO-CDA</t>
  </si>
  <si>
    <t>GPS-PSO-MDA-1</t>
  </si>
  <si>
    <t>MIDSIZE Onsite Design and Deployment assistance, used within 6 months of services kick off date.</t>
  </si>
  <si>
    <t>GPS-PSO-MDA</t>
  </si>
  <si>
    <t>GPS-PSO-FDA-1</t>
  </si>
  <si>
    <t>FULLSIZE Onsite Design and Deployment assistance, used within 6 months of services kick off date.</t>
  </si>
  <si>
    <t>GPS-PSO-FDA</t>
  </si>
  <si>
    <t>GPS-PSR-AWD-2-2a</t>
  </si>
  <si>
    <t>Gigamon PS Remote Assistance Work Day. Design/deployment assistance, use w/in 6 months.
Gigamon Professional Services Remote (PSR) Assistance Work-Day (AWD) for Gigamon PS design and deployment as needed customer deployment environment and/or use-case(s</t>
  </si>
  <si>
    <t>GPS-PSR-AWD</t>
  </si>
  <si>
    <t>GPS-PSR-AHU-2-2a</t>
  </si>
  <si>
    <t>Gigamon PS 4-hour after hours surcharge, used within 6 months of services kick off date. 
Gigamon Professional Services 4-hour block of after hours session (work requested outside of normal work-day hours).  
Typically used for initial deployment or oth</t>
  </si>
  <si>
    <t>GPS-PSR-AHU</t>
  </si>
  <si>
    <t>GPS-GOS-RSE-2-2a</t>
  </si>
  <si>
    <t>Gigamon On-site Resident Service Engineer  - Annual Contracted On-site Services - 48 Weeks, 12 consecutive months
Recommended for a customer with a large rapidly changing Gigamon deployment requiring Gigamon expertise beyond their current staff capabilit</t>
  </si>
  <si>
    <t>GPS-GOS-RSE</t>
  </si>
  <si>
    <t>GPS-GOS-RS0-2-2a</t>
  </si>
  <si>
    <t>Gigamon On-site Resident Service Engineer  - Annual Contracted On-site Services  (1 day / month, 12 consecutive months)
Recommended for a customer with a changing Gigamon deployment requiring Gigamon expertise beyond their current staff capabilities.</t>
  </si>
  <si>
    <t>GPS-GOS-RS0</t>
  </si>
  <si>
    <t>GPS-GOS-RS1-2-2a</t>
  </si>
  <si>
    <t>Gigamon On-site Resident Service Engineer  - Annual Contracted On-site Services  (1 week / month, 12 consecutive months)
Recommended for a customer with a large changing Gigamon deployment requiring Gigamon expertise beyond their current staff capabiliti</t>
  </si>
  <si>
    <t>GPS-GOS-RS1</t>
  </si>
  <si>
    <t>GPS-GOS-RS2-2-2a</t>
  </si>
  <si>
    <t>Gigamon On-site Resident Service Engineer  - Annual Contracted On-site Services  (2 weeks / month, 12 consecutive months)
Recommended for a customer with a large rapidly changing Gigamon deployment requiring Gigamon expertise beyond their current staff c</t>
  </si>
  <si>
    <t>GPS-GOS-RS2</t>
  </si>
  <si>
    <t>GPS-GOS-RS3-2-2a</t>
  </si>
  <si>
    <t>Gigamon On-site Resident Service Engineer  - Annual Contracted On-site Services  (3 weeks / month, 12 consecutive months)
Recommended for a customer with a large rapidly changing Gigamon deployment requiring Gigamon expertise beyond their current staff c</t>
  </si>
  <si>
    <t>GPS-GOS-RS3</t>
  </si>
  <si>
    <t>GPS-GRS-RSE-2-2a</t>
  </si>
  <si>
    <t>Gigamon Remote Resident Service Engineer  - Annual Contracted Remote Services - 48 Weeks, 12 consecutive months
Recommended for a customer with a large rapidly changing Gigamon deployment requiring Gigamon expertise beyond their current staff capabilitie</t>
  </si>
  <si>
    <t>GPS-GRS-RSE</t>
  </si>
  <si>
    <t>GPS-GRS-RS0-2-2a</t>
  </si>
  <si>
    <t>Gigamon Remote Resident Service Engineer  - Annual Contracted Remote Services  (1 day / month, 12 consecutive months)
Recommended for a customer with a changing Gigamon deployment requiring Gigamon expertise beyond their current staff capabilities.</t>
  </si>
  <si>
    <t>GPS-GRS-RS0</t>
  </si>
  <si>
    <t>GPS-GRS-RS1-2-2a</t>
  </si>
  <si>
    <t>Gigamon Remote Resident Service Engineer  - Annual Contracted Remote Services  (1 week / month, 12 consecutive months)
Recommended for a customer with a large changing Gigamon deployment requiring Gigamon expertise beyond their current staff capabilities</t>
  </si>
  <si>
    <t>GPS-GRS-RS1</t>
  </si>
  <si>
    <t>GPS-GRS-RS2-2-2a</t>
  </si>
  <si>
    <t>Gigamon Remote Resident Service Engineer  - Annual Contracted Remote Services  (2 weeks / month, 12 consecutive months)
Recommended for a customer with a large rapidly changing Gigamon deployment requiring Gigamon expertise beyond their current staff cap</t>
  </si>
  <si>
    <t>GPS-GRS-RS2</t>
  </si>
  <si>
    <t>GPS-GRS-RS3-2-2a</t>
  </si>
  <si>
    <t>Gigamon Remote Resident Service Engineer  - Annual Contracted Remote Services  (3 weeks / month, 12 consecutive months)
Recommended for a customer with a large rapidly changing Gigamon deployment requiring Gigamon expertise beyond their current staff cap</t>
  </si>
  <si>
    <t>GPS-GRS-RS3</t>
  </si>
  <si>
    <t>GPS-PSR-PM1-2-2a</t>
  </si>
  <si>
    <t>Gigamon PS Remote Project Mgmnt PS work-day, used within 6 months of services kick off date. 
Gigamon Remote Project Management work-day applied to Gigamon design, deploy, maintain, or optimize project activity.
*includes up to 1 (one) 8-hour regular ti</t>
  </si>
  <si>
    <t>GPS-PSR-PM1</t>
  </si>
  <si>
    <t>GPS-PSO-PM1-2-2a</t>
  </si>
  <si>
    <t>Gigamon PS Onsite Project Mgmnt PS work-day, used within 6 months of services kick off date. 
Gigamon Onsite Project Management work-day applied to Gigamon design, deploy, maintain, or optimize project activity.
*includes up to 1 (one) 8-hour regular ti</t>
  </si>
  <si>
    <t>GPS-PSO-PM1</t>
  </si>
  <si>
    <t>GPS-PSR-GNA-2-2a</t>
  </si>
  <si>
    <t>Remote GigaHEALTH Network Assessment, used within 6 months of services kick off date.  
Optimization assistance which provides remote Gigamon resource to collect, analyze and provide recommended optimization recommendations for customer’s Gigamon soluti</t>
  </si>
  <si>
    <t>GPS-PSR-GNA</t>
  </si>
  <si>
    <t>GPS-PSO-GNA-2-2a</t>
  </si>
  <si>
    <t>Onsite GigaHEALTH Network Assessment, used within 6 months of services kick off date.  
Onsite GigaHEALTH Network Assessment.  
Optimization assistance which provides on-site Gigamon resource to collect, analyze and provide recommended optimization reco</t>
  </si>
  <si>
    <t>GPS-PSO-GNA</t>
  </si>
  <si>
    <t>GSP-CS4-MWS-PMR-2-2a</t>
  </si>
  <si>
    <t>Remote after hours’ maintenance window assistance for PREMIER GSP Partners with purchased Standard Support contracts.  Four hour increments. *used within 6 months of services kick off date.</t>
  </si>
  <si>
    <t>GSP-CS4-MWS-PMR</t>
  </si>
  <si>
    <t>GES-ILT-ILB-1</t>
  </si>
  <si>
    <t>Single seat–Gigamon Inline Bypass Course Public class(2-days) w/hands-on labs. In person/remote attendance</t>
  </si>
  <si>
    <t>GES-ILT-ILB</t>
  </si>
  <si>
    <t>GES-ILT-FDN-2-2a</t>
  </si>
  <si>
    <t>Single seat - Gigamon Foundation I Course Public class (2-days) w/ hands-on labs. In person/remote attendance.</t>
  </si>
  <si>
    <t>GES-ILT-FDN</t>
  </si>
  <si>
    <t>GES-ILT-GCP-1</t>
  </si>
  <si>
    <t>Single seat - GCP Boot Camp?Public class (5-days) w/hands-on labs. In person or remote attendance</t>
  </si>
  <si>
    <t>GES-ILT-GCP</t>
  </si>
  <si>
    <t>GES-ILT-OS2-2-2a</t>
  </si>
  <si>
    <t>2 days - up to 8 seats Private class w/hands-on labs. Includes instructor T&amp;E. Venue provided by customer.</t>
  </si>
  <si>
    <t>GES-ILT-OS2</t>
  </si>
  <si>
    <t>GES-ILT-OS3-2-2a</t>
  </si>
  <si>
    <t>3 days - up to 8 seats Private class w/hands-on labs. Includes instructor T&amp;E. Venue provided by customer.</t>
  </si>
  <si>
    <t>GES-ILT-OS3</t>
  </si>
  <si>
    <t>GES-ILT-OS4-2-2a</t>
  </si>
  <si>
    <t>4 days - up to 8 seats Private class w/hands-on labs. Includes instructor T&amp;E. Venue provided by customer.</t>
  </si>
  <si>
    <t>GES-ILT-OS4</t>
  </si>
  <si>
    <t>GES-ILT-OS5-2-2a</t>
  </si>
  <si>
    <t>5 days - up to 8 seats Private class w/hands-on labs. Includes instructor T&amp;E. Venue provided by customer.</t>
  </si>
  <si>
    <t>GES-ILT-OS5</t>
  </si>
  <si>
    <t>GES-GCP-TST-1</t>
  </si>
  <si>
    <t>Gigamon Certified Professional Certification exam voucher for one delegate/single use</t>
  </si>
  <si>
    <t>GES-GCP-TST</t>
  </si>
  <si>
    <t>GES-DELE-23-2-2a</t>
  </si>
  <si>
    <t>Each additional seat for a 2 or 3-day Private class (above 8 seats to maximum of 16 total seats)</t>
  </si>
  <si>
    <t>GES-DELE-23</t>
  </si>
  <si>
    <t>GES-DELE-45-2-2a</t>
  </si>
  <si>
    <t>Each additional seat for a 4 or 5-day Private class (above 8 seats to maximum of 16 total seats)</t>
  </si>
  <si>
    <t>GES-DELE-45</t>
  </si>
  <si>
    <t>GES-ILO-OS1-2-2a</t>
  </si>
  <si>
    <t>1 day / up to 8 seats?Private class w/hands-on labs. Remote attendance only.</t>
  </si>
  <si>
    <t>GES-ILO-OS1</t>
  </si>
  <si>
    <t>GES-ILO-OS2-2-2a</t>
  </si>
  <si>
    <t>2 days - up to 8 seats Private class w/hands-on labs. Remote attendance only.</t>
  </si>
  <si>
    <t>GES-ILO-OS2</t>
  </si>
  <si>
    <t>GES-ILO-OS3-2-2a</t>
  </si>
  <si>
    <t>3 days - up to 8 seats Private class w/hands-on labs. Remote attendance only.</t>
  </si>
  <si>
    <t>GES-ILO-OS3</t>
  </si>
  <si>
    <t>GES-ILO-OS4-2-2a</t>
  </si>
  <si>
    <t>4 days - up to 8 seats Private class w/hands-on labs. Remote attendance only.</t>
  </si>
  <si>
    <t>GES-ILO-OS4</t>
  </si>
  <si>
    <t>GES-ILO-OS5-2-2a</t>
  </si>
  <si>
    <t>5 days - up to 8 seats Private class w/hands-on labs. Remote attendance only.</t>
  </si>
  <si>
    <t>GES-ILO-OS5</t>
  </si>
  <si>
    <t>CLS-TAC20-2-2a</t>
  </si>
  <si>
    <t>Advanced Feature License, GigaVUE-TA200, per node</t>
  </si>
  <si>
    <t>CLS-TAC20</t>
  </si>
  <si>
    <t>CTL-HC3-002-2-2a</t>
  </si>
  <si>
    <t>Control Card Version 2, GigaVUE-HC3</t>
  </si>
  <si>
    <t>CTL-HC3-002</t>
  </si>
  <si>
    <t>SMT-HC3-SIPMAX-2-2a</t>
  </si>
  <si>
    <t>GigaSMART, GigaVUE-HC3, SIP &amp; RTP Correlation feature license per GigaSMART module, maximum sessions</t>
  </si>
  <si>
    <t>SMT-HC3-SIPMAX</t>
  </si>
  <si>
    <t>ACC-HC2-FIPS-2</t>
  </si>
  <si>
    <t>FIPS 140 accessory kit for GigaVUE-HC2</t>
  </si>
  <si>
    <t>ACC-HC2-FIPS</t>
  </si>
  <si>
    <t>Q28-504</t>
  </si>
  <si>
    <t>100G QSFP28, Singlemode ER4-lite. Not TAA Compliant.</t>
  </si>
  <si>
    <t>Q28-506</t>
  </si>
  <si>
    <t>100G QSFP28, Singlemode PLR4 2km. Not TAA Compliant.</t>
  </si>
  <si>
    <t>QSB-512-2-2a</t>
  </si>
  <si>
    <t>100G QSFP28 BiDi, Multimode SR, Full Duplex. Not TAA Compliant.</t>
  </si>
  <si>
    <t>QSB-512</t>
  </si>
  <si>
    <t>QSF-507</t>
  </si>
  <si>
    <t>40G QSFP+, Multimode SR4 Extended Reach. Not TAA Compliant.</t>
  </si>
  <si>
    <t>SFP-531</t>
  </si>
  <si>
    <t>10G SFP+, Copper 10GBASE-T, RJ45 interface. Not TAA Compliant.</t>
  </si>
  <si>
    <t>SFP-552</t>
  </si>
  <si>
    <t>25G SFP28, Multimode SR. Not TAA Compliant.</t>
  </si>
  <si>
    <t>SFP-553</t>
  </si>
  <si>
    <t>25G SFP28, Singlemode LR. Not TAA Compliant.</t>
  </si>
  <si>
    <t>PCD-00021-2</t>
  </si>
  <si>
    <t>Spare Power Cord, 15A/125VAC, UL &amp; PSE Approved, 14AWG, 6’ (Recommended for GigaVUE-TA200/TA400 and GigaVUE-HC2/HC3)</t>
  </si>
  <si>
    <t>PCD-00021</t>
  </si>
  <si>
    <t>PCD-00031-2</t>
  </si>
  <si>
    <t>Spare Power Cord, 12A/125VAC, UL &amp; PSE Approved, 16AWG, 6’ (Recommended for GigaVUE-TA100 and GigaVUE-TA25)</t>
  </si>
  <si>
    <t>PCD-00031</t>
  </si>
  <si>
    <t>PCD-00041-2</t>
  </si>
  <si>
    <t>Spare Power Cord, 7A/125VAC, UL &amp; PSE Approved, 18AWG, 6’ (Recommended for GigaVUE-TA1/TA10/TA40 and GigaVUE-HC1)</t>
  </si>
  <si>
    <t>PCD-00041</t>
  </si>
  <si>
    <t>PRT-HC1-X12-2-2a</t>
  </si>
  <si>
    <t>Port Module, GigaVUE-HC1, 12x10G SFP+ cages</t>
  </si>
  <si>
    <t>PRT-HC1-X12</t>
  </si>
  <si>
    <t>BPS-HC3-Q35C2G-2-2a</t>
  </si>
  <si>
    <t>Bypass Combo Module, GigaVUE-HC3, 2 40Gb LR BPS pairs, 16 10G SFP+ cages</t>
  </si>
  <si>
    <t>BPS-HC3-Q35C2G</t>
  </si>
  <si>
    <t>BPS-HC3-C35C2G-2-2a</t>
  </si>
  <si>
    <t>Bypass Combo Module, GigaVUE-HC3, 2 100Gb LR BPS pairs, 16 10G SFP+ cages</t>
  </si>
  <si>
    <t>BPS-HC3-C35C2G</t>
  </si>
  <si>
    <t>TAP-M251T-2-2a</t>
  </si>
  <si>
    <t>G-TAP M Series 1/10/25Gb TAP module, 50/50 Multimode, 850 nm, 50/125 micron fiber, taps 6 1/10G links, requires TAP-M200T chassis. TAA Compliant.</t>
  </si>
  <si>
    <t>TAP-M251T</t>
  </si>
  <si>
    <t>TAP-M271T-2-2a</t>
  </si>
  <si>
    <t>G-TAP M Series 1/10/25Gb TAP module, 70/30 Multimode, 850 nm, 50/125 micron fiber, taps 6 1/10G links, requires TAP-M200T chassis. TAA Compliant.</t>
  </si>
  <si>
    <t>TAP-M271T</t>
  </si>
  <si>
    <t>TAP-M253T-2-2a</t>
  </si>
  <si>
    <t>G-TAP M Series 1/10/25/40/100/400Gb TAP module, 50/50 Singlemode, 1310/1550 nm, taps 6 links, requires TAP-M100T or TAP-M200T chassis. TAA Compliant.</t>
  </si>
  <si>
    <t>TAP-M253T</t>
  </si>
  <si>
    <t>TAP-M273T-2-2a</t>
  </si>
  <si>
    <t>G-TAP M Series 1/10/25/40/100Gb TAP module, 70/30 Singlemode, 1310/1550 nm, taps 6 links, requires TAP-M100T or TAP-M200T chassis. TAA Compliant.</t>
  </si>
  <si>
    <t>TAP-M273T</t>
  </si>
  <si>
    <t>TAP-M506A</t>
  </si>
  <si>
    <t>G-TAP M Series BiDi, 50/50 Multimode, taps 4 40G/100G BiDi links, requires TAP-M200 chassis. Not TAA Compliant.</t>
  </si>
  <si>
    <t>SMT-HC1-AFI-2-2a</t>
  </si>
  <si>
    <t>Application Filtering Intelligence (1 Month ) – GigaVUE-HC1 (12-month Minimum)_x005F_x000D_
*Includes bundled Elite-Plus Support</t>
  </si>
  <si>
    <t>SMT-HC1-AFI</t>
  </si>
  <si>
    <t>SMT-HC0-AFI-2-2a</t>
  </si>
  <si>
    <t>Application Filtering Intelligence (1 Month ) – GigaVUE-HC2 (12-month Minimum)_x005F_x000D_
*Includes bundled Elite-Plus Support</t>
  </si>
  <si>
    <t>SMT-HC0-AFI</t>
  </si>
  <si>
    <t>SMT-HC3-AFI-2</t>
  </si>
  <si>
    <t>Application Filtering Intelligence (1 Month ) – GigaVUE-HC3 (12-month Minimum) 
*Includes bundled Elite Support</t>
  </si>
  <si>
    <t>SMT-HC3-AFI</t>
  </si>
  <si>
    <t>GIP-APP-DI-2-2a</t>
  </si>
  <si>
    <t>Gigamon Insight SaaS Platform with Detect and Investigate security applications for 1 Gbps of metered use per month. Does not include physical sensors. Covered by Insight Sensor Elite 24x7x365 Support policy, price of which is included in the list price</t>
  </si>
  <si>
    <t>GIP-APP-DI</t>
  </si>
  <si>
    <t>GIP-SEN-L-2</t>
  </si>
  <si>
    <t>Large-size physical sensor to deliver data to Gigamon Insight SaaS Platform. Covered by Insight Sensor Elite 24x7x365 Support policy, price of which is included in the list price for corresponding SKU.</t>
  </si>
  <si>
    <t>GIP-SEN-L</t>
  </si>
  <si>
    <t>QSF-502T-2-2a</t>
  </si>
  <si>
    <t>40G QSFP+, Multimode SR4. TAA Compliant.</t>
  </si>
  <si>
    <t>QSF-502T</t>
  </si>
  <si>
    <t>SFP-501T-2</t>
  </si>
  <si>
    <t>1G SFP, Copper, UTP with RJ45 interface. TAA Compliant.</t>
  </si>
  <si>
    <t>SFP-501T</t>
  </si>
  <si>
    <t>SFP-502T-2</t>
  </si>
  <si>
    <t>1G SFP, Multimode SX. TAA Compliant.</t>
  </si>
  <si>
    <t>SFP-502T</t>
  </si>
  <si>
    <t>SFP-503T-2</t>
  </si>
  <si>
    <t>1G SFP, Singlemode LX. TAA Compliant.</t>
  </si>
  <si>
    <t>SFP-503T</t>
  </si>
  <si>
    <t>SFP-532T-2</t>
  </si>
  <si>
    <t>10G SFP+, Multimode SR. TAA Compliant.</t>
  </si>
  <si>
    <t>SFP-532T</t>
  </si>
  <si>
    <t>SFP-533T-2</t>
  </si>
  <si>
    <t>10G SFP+, Singlemode LR. TAA Compliant.</t>
  </si>
  <si>
    <t>SFP-533T</t>
  </si>
  <si>
    <t>GFM-ANYCL-100-2-2a</t>
  </si>
  <si>
    <t>Monthly Term license for traffic visibility for up to 100 TAP points. Min Term is 12 months. Includes bundled Elite support (EOS September 30, 2022)</t>
  </si>
  <si>
    <t>GFM-ANYCL-100</t>
  </si>
  <si>
    <t>GFM-ANYCL-1000-2-2a</t>
  </si>
  <si>
    <t>Monthly Term license for traffic visibility for up to 1000 TAP points. Min Term is 12 months. Includes bundled Elite support (EOS September 30, 2022)</t>
  </si>
  <si>
    <t>GFM-ANYCL-1000</t>
  </si>
  <si>
    <t>GFM-CONT-100-2-2a</t>
  </si>
  <si>
    <t>Monthly Term license for traffic visibility for up to 100 containers. Min Term is 12 months. Includes bundled Elite support (EOS September 30, 2022)</t>
  </si>
  <si>
    <t>GFM-CONT-100</t>
  </si>
  <si>
    <t>GFM-CONT-1000-2-2a</t>
  </si>
  <si>
    <t>Monthly Term license for traffic visibility for up to 1000 containers. Min Term is 12 months. Includes bundled Elite support (EOS September 30, 2022)</t>
  </si>
  <si>
    <t>GFM-CONT-1000</t>
  </si>
  <si>
    <t>SMT-HC1-AMI-2-2a</t>
  </si>
  <si>
    <t>Application Metadata Intelligence (1 Month) – GigaVUE-HC1 (12-Month Minimum) 
*Includes bundled Elite-Plus Support</t>
  </si>
  <si>
    <t>SMT-HC1-AMI</t>
  </si>
  <si>
    <t>SMT-HC0-AMI-2-2a</t>
  </si>
  <si>
    <t>Application Metadata Intelligence (1 Month) – GigaVUE-HC2 (12-Month Minimum) _x005F_x000D_
*Includes bundled Elite-Plus Support</t>
  </si>
  <si>
    <t>SMT-HC0-AMI</t>
  </si>
  <si>
    <t>SMT-HC3-AMI-2-2a</t>
  </si>
  <si>
    <t>Application Metadata Intelligence (1 Month) – GigaVUE-HC3 (12-Month Minimum) _x005F_x000D_
*Includes bundled Elite-Plus Support</t>
  </si>
  <si>
    <t>SMT-HC3-AMI</t>
  </si>
  <si>
    <t>IPS-PSR-NFS-2-2a</t>
  </si>
  <si>
    <t>Network Forensics Support – Insight, 1 hour, use w/in 12 months.
- Review network detections to validate alerts and provide detailed information to Partner with investigative guidance
- Perform network threat hunting to search for evidence of suspicious</t>
  </si>
  <si>
    <t>IPS-PSR-NFS</t>
  </si>
  <si>
    <t>IPS-PSR-IIS-2-2a</t>
  </si>
  <si>
    <t>Installation and Integration Support - Insight, 1 hour, use w/in 12 months.
-  Assist with Partner client coordination, discussions, and troubleshooting to support Insight sensor deployment and configuration</t>
  </si>
  <si>
    <t>IPS-PSR-IIS</t>
  </si>
  <si>
    <t>IPS-PSC-CST-2-2a</t>
  </si>
  <si>
    <t>Custom quoted Insight PS, based on customer request and Insight recommended delivery. (requires deal desk approval and manual quote)
Used within 6 months of services kick off date.</t>
  </si>
  <si>
    <t>IPS-PSC-CST</t>
  </si>
  <si>
    <t>GPS-PSC-CLR-2-2a</t>
  </si>
  <si>
    <t>Custom quoted Gigamon PS based on customer request and Gigamon recommended delivery via cleared resource. (requires deal desk approval and manual quote)
Available only for US Federal customers.</t>
  </si>
  <si>
    <t>GPS-PSC-CLR</t>
  </si>
  <si>
    <t>GPS-PSR-DD4-PSP-2-2a</t>
  </si>
  <si>
    <t>Gigamon PS Remote Design and Deployment assistance, used w/in 6 months of services kick off date.
Remote Design and Deployment assistance, ideal for software upgrades, small deployments, and limited feature additions. 
*includes up to 1 (one), 4-hour blo</t>
  </si>
  <si>
    <t>GPS-PSR-DD4-PSP</t>
  </si>
  <si>
    <t>GPS-PSR-KDA-PSP-2-2a</t>
  </si>
  <si>
    <t>KICK START Remote Design and Deployment assistance, used w/in 6 months of services kick off date.
KICK START Remote Design and Deployment assistance, ideal for software upgrades, small deployments, and limited feature additions. 
*includes up to 1 (one)</t>
  </si>
  <si>
    <t>GPS-PSR-KDA-PSP</t>
  </si>
  <si>
    <t>GPS-PSO-WDA-PSP-2-2a</t>
  </si>
  <si>
    <t>Gigamon On-site PS work-day, used within 6 months of services kick off date.
Gigamon On-site work-day used as needed for design, deploy, maintain, or optimize activity.
*includes up to 1 (one) 8-hour regular time working day of on-site assistance at the</t>
  </si>
  <si>
    <t>GPS-PSO-WDA-PSP</t>
  </si>
  <si>
    <t>GPS-PSR-GNA-PSP-2-2a</t>
  </si>
  <si>
    <t>Remote GigaHEALTH Network Assessment, used within 6 months of services kick off date.  
Optimization assistance which provides remote Gigamon resource to collect, analyze and provide recommended optimization recommendations for customer’s Gigamon solutio</t>
  </si>
  <si>
    <t>GPS-PSR-GNA-PSP</t>
  </si>
  <si>
    <t>GES-ILO-ILB</t>
  </si>
  <si>
    <t>Single seat–Gigamon Inline Bypass Course Public class (1-day) w/hands-on labs. In person/remote attendance.</t>
  </si>
  <si>
    <t>GES-ILO-SSL</t>
  </si>
  <si>
    <t>Single seat–Gigamon SSL Solutions Course Public class (1-day) w/hands-on labs. In person/remote attendance.</t>
  </si>
  <si>
    <t>GES-FDN-ILB-2</t>
  </si>
  <si>
    <t>Gigamon Foundations class, 2 days + Inline Solutions class, 1 day - single seat. In person/remote attendance.</t>
  </si>
  <si>
    <t>GES-FDN-ILB</t>
  </si>
  <si>
    <t>GES-FDN-SSL-2</t>
  </si>
  <si>
    <t>Gigamon Foundations class, 2 days + SSL Solutions class, 1day - single seat. In person/remote attendance.</t>
  </si>
  <si>
    <t>GES-FDN-SSL</t>
  </si>
  <si>
    <t>SMT-HC0-Q02X08-2-2a</t>
  </si>
  <si>
    <t>Gen2 GigaSMART, GigaVUE-HC2, Front Module, 2 40G cages, 8 10G cages (includes Slicing, Masking, Source Port &amp; GigaVUE Tunneling De-Encapsulation SW). Requires Control Card version 2</t>
  </si>
  <si>
    <t>SMT-HC0-Q02X08</t>
  </si>
  <si>
    <t>SMT-HC2-DD1-2-2a</t>
  </si>
  <si>
    <t>GigaSMART, GigaVUE-HC2, De-Duplication feature license per GigaVUE-HC2 Gen2 GigaSMART module; requires SMT-HC0-Q02X08</t>
  </si>
  <si>
    <t>SMT-HC2-DD1</t>
  </si>
  <si>
    <t>SMT-HC2-HS1-2-2a</t>
  </si>
  <si>
    <t>GigaSMART, GigaVUE-HC2, Header Stripping feature license per GigaVUE-HC2 Gen2 GigaSMART module; requires SMT-HC0-Q02X08</t>
  </si>
  <si>
    <t>SMT-HC2-HS1</t>
  </si>
  <si>
    <t>SMT-HC2-AT1-2-2a</t>
  </si>
  <si>
    <t>GigaSMART, GigaVUE-HC2, Advanced Tunneling feature license per GigaVUE-HC2 Gen2 GigaSMART module; requires SMT-HC0-Q02X08</t>
  </si>
  <si>
    <t>SMT-HC2-AT1</t>
  </si>
  <si>
    <t>SMT-HC2-FVU-2-2a</t>
  </si>
  <si>
    <t>GigaSMART, GigaVUE-HC2, FlowVUE feature license per GigaVUE-HC2 Gen2 GigaSMART module; requires SMT-HC0-Q02X08</t>
  </si>
  <si>
    <t>SMT-HC2-FVU</t>
  </si>
  <si>
    <t>SMT-HC2-APF-2-2a</t>
  </si>
  <si>
    <t>GigaSMART, GigaVUE-HC2, Adaptive Packet Filtering feature license per GigaVUE-HC2 Gen2 GigaSMART module; requires SMT-HC0-Q02X08</t>
  </si>
  <si>
    <t>SMT-HC2-APF</t>
  </si>
  <si>
    <t>SMT-HC2-NF1-2-2a</t>
  </si>
  <si>
    <t>GigaSMART, GigaVUE-HC2, NetFlow Generation feature license per GigaVUE-HC2 Gen2 GigaSMART module; requires SMT-HC0-Q02X08</t>
  </si>
  <si>
    <t>SMT-HC2-NF1</t>
  </si>
  <si>
    <t>SMT-HC2-DCRP-2-2a</t>
  </si>
  <si>
    <t>GigaSMART, GigaVUE-HC2, SSL/TLS Decryption for Inline and Out of Band Tools Feature License per GigaVUE-HC2 Gen2 GigaSMART module; requires SMT-HC0-Q02X08</t>
  </si>
  <si>
    <t>SMT-HC2-DCRP</t>
  </si>
  <si>
    <t>SMT-HC2-GTPMAX-2-2a</t>
  </si>
  <si>
    <t>GigaSMART, GigaVUE-HC2, GTP Filtering &amp; Correlation feature license per GigaVUE-HC2 Gen2 GigaSMART module, maximum subscribers; requires SMT-HC0-Q02X08</t>
  </si>
  <si>
    <t>SMT-HC2-GTPMAX</t>
  </si>
  <si>
    <t>SMT-HC2-SIP10-2-2a</t>
  </si>
  <si>
    <t>GigaSMART, GigaVUE-HC2, SIP &amp; RTP Correlation feature license per GigaVUE-HC2 Gen2 GigaSMART module, 10K sessions; requires SMT-HC0-Q02X08</t>
  </si>
  <si>
    <t>SMT-HC2-SIP10</t>
  </si>
  <si>
    <t>SMT-HC2-SIPMAX-2-2a</t>
  </si>
  <si>
    <t>GigaSMART, GigaVUE-HC2, SIP &amp; RTP Correlation feature license per GigaVUE-HC2 Gen2 GigaSMART module, maximum sessions; requires SMT-HC0-Q02X08</t>
  </si>
  <si>
    <t>SMT-HC2-SIPMAX</t>
  </si>
  <si>
    <t>SMT-HC1-BN-CORE?-2</t>
  </si>
  <si>
    <t>Core GigaSMART software bundle for GigaVUE-HC1. Includes bundled Elite Support</t>
  </si>
  <si>
    <t>SMT-HC1-BN-CORE?</t>
  </si>
  <si>
    <t>SMT-HC2-BN-CORE?-2</t>
  </si>
  <si>
    <t>Core Gen2 GigaSMART software bundle for GigaVUE-HC2. Requires SMT-HC0-Q02X08. Includes bundled Elite Support</t>
  </si>
  <si>
    <t>SMT-HC2-BN-CORE?</t>
  </si>
  <si>
    <t>SMT-HC3-BN-CORE?-2</t>
  </si>
  <si>
    <t>Core GigaSMART software bundle for GigaVUE-HC3. Includes bundled Elite Support</t>
  </si>
  <si>
    <t>SMT-HC3-BN-CORE?</t>
  </si>
  <si>
    <t>SMT-HC1-BN-NV?-2</t>
  </si>
  <si>
    <t>NetVUE GigaSMART software bundle for GigaVUE-HC1. Includes bundled Elite Support</t>
  </si>
  <si>
    <t>SMT-HC1-BN-NV?</t>
  </si>
  <si>
    <t>SMT-HC2-BN-NV?-2</t>
  </si>
  <si>
    <t>NetVUE Gen2 GigaSMART software bundle for GigaVUE-HC2. Requires SMT-HC0-Q02X08. Includes bundled Elite Support</t>
  </si>
  <si>
    <t>SMT-HC2-BN-NV?</t>
  </si>
  <si>
    <t>SMT-HC3-BN-NV?-2</t>
  </si>
  <si>
    <t>NetVUE GigaSMART software bundle for GigaVUE-HC3. Includes bundled Elite Support</t>
  </si>
  <si>
    <t>SMT-HC3-BN-NV?</t>
  </si>
  <si>
    <t>SMT-HC1-BN-NVP?-2</t>
  </si>
  <si>
    <t>NetVUE Plus GigaSMART software bundle for GigaVUE-HC1. Includes bundled Elite Support</t>
  </si>
  <si>
    <t>SMT-HC1-BN-NVP?</t>
  </si>
  <si>
    <t>SMT-HC2-BN-NVP?-2</t>
  </si>
  <si>
    <t>NetVUE Plus Gen2 GigaSMART software bundle for GigaVUE-HC2. Requires SMT-HC0-Q02X08. Includes bundled Elite Support</t>
  </si>
  <si>
    <t>SMT-HC2-BN-NVP?</t>
  </si>
  <si>
    <t>SMT-HC3-BN-NVP?-2</t>
  </si>
  <si>
    <t>NetVUE Plus GigaSMART software bundle for GigaVUE-HC3. Includes bundled Elite Support</t>
  </si>
  <si>
    <t>SMT-HC3-BN-NVP?</t>
  </si>
  <si>
    <t>SMT-HC1-BN-SV?-2</t>
  </si>
  <si>
    <t>SecureVUE GigaSMART software bundle for GigaVUE-HC1. Includes bundled Elite Support</t>
  </si>
  <si>
    <t>SMT-HC1-BN-SV?</t>
  </si>
  <si>
    <t>SMT-HC2-BN-SV?-2</t>
  </si>
  <si>
    <t>SecureVUE Gen2 GigaSMART software bundle for GigaVUE-HC2. Requires SMT-HC0-Q02X08. Includes bundled Elite Support</t>
  </si>
  <si>
    <t>SMT-HC2-BN-SV?</t>
  </si>
  <si>
    <t>SMT-HC3-BN-SV?-2</t>
  </si>
  <si>
    <t>SecureVUE GigaSMART software bundle for GigaVUE-HC3. Includes bundled Elite Support</t>
  </si>
  <si>
    <t>SMT-HC3-BN-SV?</t>
  </si>
  <si>
    <t>SMT-HC1-BN-SVP?-2</t>
  </si>
  <si>
    <t>SecureVUE Plus GigaSMART software bundle for GigaVUE-HC1. Includes bundled Elite Support</t>
  </si>
  <si>
    <t>SMT-HC1-BN-SVP?</t>
  </si>
  <si>
    <t>SMT-HC2-BN-SVP?-2</t>
  </si>
  <si>
    <t>SecureVUE Plus Gen2 GigaSMART software bundle for GigaVUE-HC2. Requires SMT-HC0-Q02X08. Includes bundled Elite Support</t>
  </si>
  <si>
    <t>SMT-HC2-BN-SVP?</t>
  </si>
  <si>
    <t>SMT-HC3-BN-SVP?-2</t>
  </si>
  <si>
    <t>SecureVUE Plus GigaSMART software bundle for GigaVUE-HC3. Includes bundled Elite Support</t>
  </si>
  <si>
    <t>SMT-HC3-BN-SVP?</t>
  </si>
  <si>
    <t>SMT-HC2-BN-MV?-2</t>
  </si>
  <si>
    <t>MobileVUE Gen2 GigaSMART software bundle for GigaVUE-HC2. Requires SMT-HC0-Q02X08. Includes bundled Elite Support</t>
  </si>
  <si>
    <t>SMT-HC2-BN-MV?</t>
  </si>
  <si>
    <t>SMT-HC3-BN-MV?-2</t>
  </si>
  <si>
    <t>MobileVUE GigaSMART software bundle for GigaVUE-HC3. Includes bundled Elite Support</t>
  </si>
  <si>
    <t>SMT-HC3-BN-MV?</t>
  </si>
  <si>
    <t>SMT-HC1-UPGBN-NV?-2</t>
  </si>
  <si>
    <t>Upgrade SKU from Core to NetVUE GigaSMART software bundle for GigaVUE-HC1. Includes bundled Elite Support</t>
  </si>
  <si>
    <t>SMT-HC1-UPGBN-NV?</t>
  </si>
  <si>
    <t>SMT-HC2-UPGBN-NV?-2</t>
  </si>
  <si>
    <t>Upgrade SKU from Core to NetVUE GigaSMART software bundle for GigaVUE-HC2. Requires SMT-HC0-Q02X08. Includes bundled Elite Support</t>
  </si>
  <si>
    <t>SMT-HC2-UPGBN-NV?</t>
  </si>
  <si>
    <t>SMT-HC3-UPGBN-NV?-2</t>
  </si>
  <si>
    <t>Upgrade SKU from Core to NetVUE GigaSMART software bundle for GigaVUE-HC3. Includes bundled Elite Support</t>
  </si>
  <si>
    <t>SMT-HC3-UPGBN-NV?</t>
  </si>
  <si>
    <t>SMT-HC1-UPGBN-NVP?-2</t>
  </si>
  <si>
    <t>Upgrade SKU from NetVUE to NetVUE Plus GigaSMART software bundle for GigaVUE-HC1. Includes bundled Elite Support</t>
  </si>
  <si>
    <t>SMT-HC1-UPGBN-NVP?</t>
  </si>
  <si>
    <t>SMT-HC2-UPGBN-NVP?-2</t>
  </si>
  <si>
    <t>Upgrade SKU from NetVUE to NetVUE Plus GigaSMART software bundle for GigaVUE-HC2. Requires SMT-HC0-Q02X08. Includes bundled Elite Support</t>
  </si>
  <si>
    <t>SMT-HC2-UPGBN-NVP?</t>
  </si>
  <si>
    <t>SMT-HC3-UPGBN-NVP?-2</t>
  </si>
  <si>
    <t>Upgrade SKU from NetVUE to NetVUE Plus GigaSMART software bundle for GigaVUE-HC3. Includes bundled Elite Support</t>
  </si>
  <si>
    <t>SMT-HC3-UPGBN-NVP?</t>
  </si>
  <si>
    <t>SMT-HC1-UPGBN-SV?-2</t>
  </si>
  <si>
    <t>Upgrade SKU from Core to SecureVUE GigaSMART software bundle for GigaVUE-HC1. Includes bundled Elite Support</t>
  </si>
  <si>
    <t>SMT-HC1-UPGBN-SV?</t>
  </si>
  <si>
    <t>SMT-HC2-UPGBN-SV?-2</t>
  </si>
  <si>
    <t>Upgrade SKU from Core to SecureVUE GigaSMART software bundle for GigaVUE-HC2. Requires SMT-HC0-Q02X08. Includes bundled Elite Support</t>
  </si>
  <si>
    <t>SMT-HC2-UPGBN-SV?</t>
  </si>
  <si>
    <t>SMT-HC3-UPGBN-SV?-2</t>
  </si>
  <si>
    <t>Upgrade SKU from Core to SecureVUE GigaSMART software bundle for GigaVUE-HC3. Includes bundled Elite Support</t>
  </si>
  <si>
    <t>SMT-HC3-UPGBN-SV?</t>
  </si>
  <si>
    <t>SMT-HC1-UPGBN-SVP?-2</t>
  </si>
  <si>
    <t>Upgrade SKU from SecureVUE to SecureVUE Plus GigaSMART software bundle for GigaVUE-HC1. Includes bundled Elite Support</t>
  </si>
  <si>
    <t>SMT-HC1-UPGBN-SVP?</t>
  </si>
  <si>
    <t>SMT-HC2-UPGBN-SVP?-2</t>
  </si>
  <si>
    <t>Upgrade SKU from SecureVUE to SecureVUE Plus GigaSMART software bundle for GigaVUE-HC2. Requires SMT-HC0-Q02X08. Includes bundled Elite Support</t>
  </si>
  <si>
    <t>SMT-HC2-UPGBN-SVP?</t>
  </si>
  <si>
    <t>SMT-HC3-UPGBN-SVP?-2</t>
  </si>
  <si>
    <t>Upgrade SKU from SecureVUE to SecureVUE Plus GigaSMART software bundle for GigaVUE-HC3. Includes bundled Elite Support</t>
  </si>
  <si>
    <t>SMT-HC3-UPGBN-SVP?</t>
  </si>
  <si>
    <t>SMT-HC2-UPGBN-MV?-2</t>
  </si>
  <si>
    <t>Upgrade SKU from Core to MobileVUE GigaSMART software bundle for GigaVUE-HC2. Requires SMT-HC0-Q02X08. Includes bundled Elite Support</t>
  </si>
  <si>
    <t>SMT-HC2-UPGBN-MV?</t>
  </si>
  <si>
    <t>SMT-HC3-UPGBN-MV?-2</t>
  </si>
  <si>
    <t>Upgrade SKU from Core to MobileVUE GigaSMART software bundle for GigaVUE-HC3. Includes bundled Elite Support</t>
  </si>
  <si>
    <t>SMT-HC3-UPGBN-MV?</t>
  </si>
  <si>
    <t>SMT-HC2-AFI-2-2a</t>
  </si>
  <si>
    <t>Application Filtering Intelligence (1 Month ) – GigaVUE-HC2 Gen2 GigaSMART module; requires SMT-HC0-Q02X08 *Includes bundled Elite-Plus Support</t>
  </si>
  <si>
    <t>SMT-HC2-AFI</t>
  </si>
  <si>
    <t>SMT-HC2-AMI-2-2a</t>
  </si>
  <si>
    <t>Application Metadata Intelligence (1 Month) – GigaVUE-HC2 Gen2 GigaSMART module; requires SMT-HC0-Q02X08 (12-Month Minimum) *Includes bundled Elite-Plus Support</t>
  </si>
  <si>
    <t>SMT-HC2-AMI</t>
  </si>
  <si>
    <t>SMT-HC1-AFS-2-2a</t>
  </si>
  <si>
    <t>Advanced Flow Slicing (1 Month ) – GigaVUE-HC1 (12-month Minimum). *Includes bundled Elite-Plus Support</t>
  </si>
  <si>
    <t>SMT-HC1-AFS</t>
  </si>
  <si>
    <t>SMT-HC0-AFS-2-2a</t>
  </si>
  <si>
    <t>Advanced Flow Slicing (1 Month ) – GigaVUE-HC2 (12-month Minimum). *Includes bundled Elite-Plus Support</t>
  </si>
  <si>
    <t>SMT-HC0-AFS</t>
  </si>
  <si>
    <t>SMT-HC2-AFS-2-2a</t>
  </si>
  <si>
    <t>Advanced Flow Slicing (1 Month ) – GigaVUE-HC2 (12-month Minimum); requires SMT-HC0-Q02X08 *Includes bundled Elite-Plus Support</t>
  </si>
  <si>
    <t>SMT-HC2-AFS</t>
  </si>
  <si>
    <t>SMT-HC3-AFS-2-2a</t>
  </si>
  <si>
    <t>Advanced Flow Slicing (1 Month ) – GigaVUE-HC3 (12-month Minimum). *Includes bundled Elite-Plus Support</t>
  </si>
  <si>
    <t>SMT-HC3-AFS</t>
  </si>
  <si>
    <t>GFM-NUT-100-2-2a</t>
  </si>
  <si>
    <t>Monthly Term license for traffic visibility up to 100 virtual TAP Points in Nutanix. Min Term is 12 months. Includes bundled Elite Support</t>
  </si>
  <si>
    <t>GFM-NUT-100</t>
  </si>
  <si>
    <t>GFM-NUT-1000-2-2a</t>
  </si>
  <si>
    <t>Monthly Term license for traffic visibility up to 1000 virtual TAP Points in Nutanix. Min Term is 12 months. Includes bundled Elite Support</t>
  </si>
  <si>
    <t>GFM-NUT-1000</t>
  </si>
  <si>
    <t>GFM-NSXT-100-2-2a</t>
  </si>
  <si>
    <t>Monthly Term license for traffic visibility up to 100 virtual TAP Points in VMware NSX-T. Min Term is 12 months. Includes bundled Elite Support (EOS September 30, 2022)</t>
  </si>
  <si>
    <t>GFM-NSXT-100</t>
  </si>
  <si>
    <t>GFM-NSXT-1000-2-2a</t>
  </si>
  <si>
    <t>Monthly Term license for traffic visibility up to 1000 virtual TAP Points in VMware NSX-T. Min Term is 12 months. Includes bundled Elite Support (EOS September 30, 2022)</t>
  </si>
  <si>
    <t>GFM-NSXT-1000</t>
  </si>
  <si>
    <t>GIP-SEN-S-2</t>
  </si>
  <si>
    <t>Small-size physical sensor to deliver data to Gigamon Insight SaaS Platform. Covered by Insight Sensor Elite 24x7x365 Support policy, price of which is included in the list price for corresponding SKU.</t>
  </si>
  <si>
    <t>GIP-SEN-S</t>
  </si>
  <si>
    <t>GFM-HW1-FM010-2</t>
  </si>
  <si>
    <t>GigaVUE-FM Hardware Appliance (dual 2.1GHz 8 core/16 thread CPU, 2 TB hard disk drive with RAID, 2x10Gb and 2x1Gb network interfaces), manages up to 10 physical Visibility Fabric Nodes</t>
  </si>
  <si>
    <t>GFM-HW1-FM010</t>
  </si>
  <si>
    <t>CXP-502</t>
  </si>
  <si>
    <t>100G CXP Multimode SR10. Not TAA Compliant. (EOS May 31, 2021)</t>
  </si>
  <si>
    <t>Q28-502T-2-2a</t>
  </si>
  <si>
    <t>100G QSFP28, Multimode SR4. TAA Compliant.</t>
  </si>
  <si>
    <t>Q28-502T</t>
  </si>
  <si>
    <t>GFM-FM001-2</t>
  </si>
  <si>
    <t>GigaVUE-FM, manage 1 Physical Visibility Fabric Node</t>
  </si>
  <si>
    <t>GFM-FM001</t>
  </si>
  <si>
    <t>Gigamon Systems LLC</t>
  </si>
  <si>
    <t>TAP-M253LT-2-2a</t>
  </si>
  <si>
    <t>G-TAP M Series 1/10/25/40/100/400Gb TAP module, 50/50 Singlemode, 1310/1550 nm LC, taps 2 links, requires TAP-M100T or TAP-M200T chassis. TAA Compliant.</t>
  </si>
  <si>
    <t>TAP-M253LT</t>
  </si>
  <si>
    <t>TAP-M253ULT-2-2a</t>
  </si>
  <si>
    <t>G-TAP M Series 1/10/25/40/100/400Gb Unidirectional TAP module, 50/50 Singlemode, 1310/1550 nm LC, taps 2 links, requires TAP-M100T or TAP-M200T chassis. TAA Compliant.</t>
  </si>
  <si>
    <t>TAP-M253ULT</t>
  </si>
  <si>
    <t>TAP-M261LT-2-2a</t>
  </si>
  <si>
    <t>G-TAP M Series 1/10/25Gb TAP module,  60/40 Multimode, 850 nm, 50/125 micron fiber LC, taps 2 1/10/25Gb links, requires TAP-M100T or TAP-M200 chassis. TAA Compliant.</t>
  </si>
  <si>
    <t>TAP-M261LT</t>
  </si>
  <si>
    <t>TAP-M262LT-2-2a</t>
  </si>
  <si>
    <t>G-TAP M Series 1/10/25Gb TAP module, 60/40 Multimode, 850 nm, 62.5 micron fiber LC, taps 2 1/10/25Gb links, requires TAP-M100T or TAP-M200 chassis. TAA Compliant.</t>
  </si>
  <si>
    <t>TAP-M262LT</t>
  </si>
  <si>
    <t>TAP-M263LT-2-2a</t>
  </si>
  <si>
    <t>G-TAP M Series 1/10/25/40/100/400Gb TAP module, 60/40 Singlemode, 1310/1550 nm LC, taps 2 links, requires TAP-M100T or TAP-M200T chassis. TAA Compliant.</t>
  </si>
  <si>
    <t>TAP-M263LT</t>
  </si>
  <si>
    <t>TAP-M271LT-2-2a</t>
  </si>
  <si>
    <t>G-TAP M Series 1/10/25Gb TAP module, 70/30 Multimode, 850 nm, 50/125 micron LC, taps 2 1/10/25Gb links, requires TAP-M100T or TAP-M200T chassis. TAA Compliant.</t>
  </si>
  <si>
    <t>TAP-M271LT</t>
  </si>
  <si>
    <t>TAP-M272LT-2-2a</t>
  </si>
  <si>
    <t>G-TAP M Series 1/10/25Gb TAP module, 70/30 Multimode, 850 nm, 62.5 micron fiber LC, taps 2 1/10/25Gb  links, requires TAP-M100T or TAP-M200T chassis. TAA Compliant.</t>
  </si>
  <si>
    <t>TAP-M272LT</t>
  </si>
  <si>
    <t>TAP-M273LT-2-2a</t>
  </si>
  <si>
    <t>G-TAP M Series 1/10/25/40/100Gb TAP module, 70/30 Singlemode, 1310/1550 nm LC, taps 2 1/10/25/40/100Gb links, requires TAP-M100T or TAP-M200 chassis. TAA Compliant.</t>
  </si>
  <si>
    <t>TAP-M273LT</t>
  </si>
  <si>
    <t>TAP-M273ULT-2-2a</t>
  </si>
  <si>
    <t>G-TAP M Series 1/10/25/40/100Gb Unidirectional TAP module, 70/30 Singlemode, 1310/1550 nm LC, taps 2 1/10/25/40/100Gb links, requires TAP-M100T or TAP-M200T chassis. TAA Compliant.</t>
  </si>
  <si>
    <t>TAP-M273ULT</t>
  </si>
  <si>
    <t>TAP-M453T-2-2a</t>
  </si>
  <si>
    <t>G-TAP M Series 40/100/400Gb Tap module, 50/50 Singlemode, MPO PSM4, 1310/1550 nm, taps 3 links, requires TAP-M100T or TAP-M200T chassis. TAA Compliant.</t>
  </si>
  <si>
    <t>TAP-M453T</t>
  </si>
  <si>
    <t>TAP-M473T-2-2a</t>
  </si>
  <si>
    <t>G-TAP M Series 40/100Gb Tap Module, 70/30 Singlemode, MPO PSM4, 1310/1550 nm, taps 3 links, requires TAP-M100T or TAP-M200T chassis. TAA Compliant.</t>
  </si>
  <si>
    <t>TAP-M473T</t>
  </si>
  <si>
    <t>FAN-GTA20-2-2a</t>
  </si>
  <si>
    <t>G-TAP A Series 2 Fan Assembly (1 required)</t>
  </si>
  <si>
    <t>FAN-GTA20</t>
  </si>
  <si>
    <t>BAT-GTA20-2-2a</t>
  </si>
  <si>
    <t>G-TAP A Series 2 Battery Pack</t>
  </si>
  <si>
    <t>BAT-GTA20</t>
  </si>
  <si>
    <t>PBK-GTA21-2-2a</t>
  </si>
  <si>
    <t>G-TAP A Series 2 Power Brick (AC to DC transformer). Not TAA Compliant.</t>
  </si>
  <si>
    <t>PBK-GTA21</t>
  </si>
  <si>
    <t>PCD-00A21-2-2a</t>
  </si>
  <si>
    <t>Power cord, G-TAP A Series 2, 10A/125V, 1.8m, NA plug</t>
  </si>
  <si>
    <t>PCD-00A21</t>
  </si>
  <si>
    <t>PCD-00A23-2-2a</t>
  </si>
  <si>
    <t>Power cord, G-TAP A Series 2, 2.5A/250V, 1.8m, EU plug</t>
  </si>
  <si>
    <t>PCD-00A23</t>
  </si>
  <si>
    <t>PCD-00A25-2-2a</t>
  </si>
  <si>
    <t>Power cord, G-TAP A Series 2, 2.5A/250V, 1.8m, UK plug</t>
  </si>
  <si>
    <t>PCD-00A25</t>
  </si>
  <si>
    <t>PCD-00A27-2-2a</t>
  </si>
  <si>
    <t>Power cord, G-TAP A Series 2, 2.5A/250V, 1,8m, AU plug</t>
  </si>
  <si>
    <t>PCD-00A27</t>
  </si>
  <si>
    <t>PCD-00A29-2-2a</t>
  </si>
  <si>
    <t>Power cord, G-TAP A Series 2, 2.5A/125V, 1.8m, JP plug</t>
  </si>
  <si>
    <t>PCD-00A29</t>
  </si>
  <si>
    <t>GVS-TAX21-2-2a</t>
  </si>
  <si>
    <t>GigaVUE-TA25 node, 8 40G/100G QSFP28 cages + 48 1G/10G/25G SFP28 cages, 2 power supplies, 4 fan trays, AC power, all ports enabled.</t>
  </si>
  <si>
    <t>GVS-TAX21</t>
  </si>
  <si>
    <t>GVS-TAX22-2-2a</t>
  </si>
  <si>
    <t>GigaVUE-TA25 node, 8 40G/100G QSFP28 cages + 48 1G/10G/25G SFP28 cages, 2 power supplies, 4 fan trays, DC power, all ports enabled.</t>
  </si>
  <si>
    <t>GVS-TAX22</t>
  </si>
  <si>
    <t>GVS-TAX21A-2-2a</t>
  </si>
  <si>
    <t>GigaVUE-TA25 node, 8 40G/100G QSFP28 cages + 48 1G/10G/25G SFP28 cages, 2 power supplies, 4 fan trays, AC power, 24 10G/25G ports enabled.</t>
  </si>
  <si>
    <t>GVS-TAX21A</t>
  </si>
  <si>
    <t>GVS-TAX22A-2-2a</t>
  </si>
  <si>
    <t>GigaVUE-TA25 node, 8 40G/100G QSFP28 cages + 48 1G/10G/25G SFP28 cages, 2 power supplies, 4 fan trays, DC power, 24 10G/25G ports enabled.</t>
  </si>
  <si>
    <t>GVS-TAX22A</t>
  </si>
  <si>
    <t>UPG-TAX20-2-2a</t>
  </si>
  <si>
    <t>Upgrade option for GVS-TAX21A/TAX22A to enable all GigaVUE-TA25 ports (48 1G/10G/25G + 8 40G/100G)</t>
  </si>
  <si>
    <t>UPG-TAX20</t>
  </si>
  <si>
    <t>CLS-TAX20-2-2a</t>
  </si>
  <si>
    <t>Advanced Features License, GigaVUE-TA25, per node</t>
  </si>
  <si>
    <t>CLS-TAX20</t>
  </si>
  <si>
    <t>GSW-WBX01-2-2a</t>
  </si>
  <si>
    <t>GigaVUE-OS software for 500 Gbps (and lower) systems (supported products: Dell 4112F-ON 12x10G + 3x100G). Includes bundled Elite Support.</t>
  </si>
  <si>
    <t>GSW-WBX01</t>
  </si>
  <si>
    <t>CLS-WBX01-2-2a</t>
  </si>
  <si>
    <t>Advanced Features License corresponding to GSW-WBX01</t>
  </si>
  <si>
    <t>CLS-WBX01</t>
  </si>
  <si>
    <t>SMT-HC1-S-2-2a</t>
  </si>
  <si>
    <t>Generation 3 GigaSMART module on GIgaVUE-HC1. Includes ThreatINSIGHT sensor app, Slicing, Masking, &amp; Source Port ID Software (Only works with feature licenses &amp; bundles that have a ‘SMT-HC1-Gen3’ prefix)</t>
  </si>
  <si>
    <t>SMT-HC1-S</t>
  </si>
  <si>
    <t>SMT-HC1-GEN3-DD1-2-2a</t>
  </si>
  <si>
    <t>GigaSMART, GigaVUE-HC1, De-Duplication feature license for GigaVUE-HC1 Gen3 GigaSMART module; requires SMT-HC1-S</t>
  </si>
  <si>
    <t>SMT-HC1-GEN3-DD1</t>
  </si>
  <si>
    <t>SMT-HC1-GEN3-AT1-2-2a</t>
  </si>
  <si>
    <t>GigaSMART, GigaVUE-HC1, Advanced Tunneling feature license per GigaVUE-HC1 Gen3 GigaSMART module; includes tunnel encapsulation and tunnel decapsulation. Requires SMT-HC1-S</t>
  </si>
  <si>
    <t>SMT-HC1-GEN3-AT1</t>
  </si>
  <si>
    <t>GTP-ASF21?-2</t>
  </si>
  <si>
    <t>G-TAP A Series 2, Always On Tap, taps 4 1/10Gb SFP/SFP+ links, fan assembly, 1 power brick (NA), rack mount kit. Includes North American power cord.</t>
  </si>
  <si>
    <t>GTP-ASF21?</t>
  </si>
  <si>
    <t>GVS-HC101-SUB-2-2a</t>
  </si>
  <si>
    <t>Subscription price for GVS-HC101 (GigaVUE-HC1 chassis, 12 1G/10G cages, 4 10/100/100M Copper, fan tray, 2 power supplies, AC power). Includes 24x7 Elite-Plus Support. Available only in US</t>
  </si>
  <si>
    <t>GVS-HC101-SUB</t>
  </si>
  <si>
    <t>TAP-M252LT-2-2a</t>
  </si>
  <si>
    <t>G-TAP M Series 1/10/25Gb tap module, 50/50 Multimode, 850 nm, 62.5 micron fiber LC, taps 2 1/10/25Gb links, requires TAP-M100T or TAP-M200T chassis. TAA Compliant.</t>
  </si>
  <si>
    <t>TAP-M252LT</t>
  </si>
  <si>
    <t>TAP-M251LT-2-2a</t>
  </si>
  <si>
    <t>G-TAP M Series 1/10/25Gb TAP module, 50/50 Multimode, 850 nm, 50/125 micron fiber LC, taps 2 1/10/25Gb links, requires TAP-M100T or TAP-M200T chassis. TAA Compliant.</t>
  </si>
  <si>
    <t>TAP-M251LT</t>
  </si>
  <si>
    <t>TAP-M100T-2-2a</t>
  </si>
  <si>
    <t>G-TAP M Series 1/2 RU chassis. Supports up to 3 M Series TAP modules. TAA Compliant.</t>
  </si>
  <si>
    <t>TAP-M100T</t>
  </si>
  <si>
    <t>GTP-ATX21-2-2a</t>
  </si>
  <si>
    <t>G-TAP A Series 2, Always On Tap, taps 4 10/100/1000BASE-T links, fan assembly, 1 power brick (NA), rack mount kit. Includes North American power cord.</t>
  </si>
  <si>
    <t>GTP-ATX21</t>
  </si>
  <si>
    <t>SMT-HC3-5GC-2-2a</t>
  </si>
  <si>
    <t>Feature license for GigaSMART, GigaVUE-HC3, 5G Correlation, including CUPS and SUPI-based load-balancing. Requires a base GTP Correlation license (e.g. SMT-HC3-GTPMAX).</t>
  </si>
  <si>
    <t>SMT-HC3-5GC</t>
  </si>
  <si>
    <t>SMT-HC2-5GC-2-2a</t>
  </si>
  <si>
    <t>Feature license for GigaSMART, GigaVUE-HC2, 5G Correlation, including CUPS and SUPI-based load-balancing. Requires a base GTP Correlation license (e.g. SMT-HC2-GTPMAX). Gen2 only.</t>
  </si>
  <si>
    <t>SMT-HC2-5GC</t>
  </si>
  <si>
    <t>SMT-HC1-S-SUB-2-2a</t>
  </si>
  <si>
    <t>Subscription price for Generation 3 GigaSMART module on GigaVUE-HC1 (SMT-HC1-S) and ThreatINSIGHT sensor app. Covered by Insight Sensor Elite 24x7x365 Support policy, price of which is included in the list price for corresponding SKU. Available only in U</t>
  </si>
  <si>
    <t>SMT-HC1-S-SUB</t>
  </si>
  <si>
    <t>SMT-HC2-VDR-2-2a</t>
  </si>
  <si>
    <t>GigaSMART, GigaVUE-HC2, Video Data Record generation for Nokia AVA platform. Gen2 only. 12-month minimum. Includes bundled Elite-Plus Support</t>
  </si>
  <si>
    <t>SMT-HC2-VDR</t>
  </si>
  <si>
    <t>SMT-HC3-VDR-2-2a</t>
  </si>
  <si>
    <t>GigaSMART, GigaVUE-HC3, Video Data Record generation for Nokia AVA platform. 12-month minimum. Includes bundled Elite-Plus Support</t>
  </si>
  <si>
    <t>SMT-HC3-VDR</t>
  </si>
  <si>
    <t>VBL-50T-BN-CORE-2-2a</t>
  </si>
  <si>
    <t>Monthly Term license for CoreVUE software up to 50TB per day in V Series for cloud and virtual environments. Capabilities included: Advanced Tunneling, Slicing, Masking, Advanced Load Balancing. Min Term is 12 months. Includes bundled Elite-Plus Support.</t>
  </si>
  <si>
    <t>VBL-50T-BN-CORE</t>
  </si>
  <si>
    <t>VBL-250T-BN-CORE-2-2a</t>
  </si>
  <si>
    <t>Monthly Term license for CoreVUE software up to 250TB per day in V Series for cloud and virtual environments. Capabilities included: Advanced Tunneling, Slicing, Masking, Advanced Load Balancing. Min Term is 12 months. Includes bundled Elite-Plus Support</t>
  </si>
  <si>
    <t>VBL-250T-BN-CORE</t>
  </si>
  <si>
    <t>VBL-2500T-BN-CORE-2-2a</t>
  </si>
  <si>
    <t>Monthly Term license for CoreVUE software up to 2,500TB per day in V Series for cloud and virtual environments. Capabilities included: Advanced Tunneling, Slicing, Masking, Advanced Load Balancing. Min Term is 12 months. Includes bundled Elite-Plus Suppo</t>
  </si>
  <si>
    <t>VBL-2500T-BN-CORE</t>
  </si>
  <si>
    <t>VBL-25KT-BN-CORE-2-2a</t>
  </si>
  <si>
    <t>Monthly Term license for CoreVUE software up to 25,000TB per day in V Series for cloud and virtual environments. Capabilities included: Advanced Tunneling, Slicing, Masking, Advanced Load Balancing. Min Term is 12 months. Includes bundled Elite-Plus Supp</t>
  </si>
  <si>
    <t>VBL-25KT-BN-CORE</t>
  </si>
  <si>
    <t>VBL-50T-BN-NV-2-2a</t>
  </si>
  <si>
    <t>Monthly Term license for NetVUE software up to 50TB per day in V Series for cloud and virtual environments. Capabilities included: CoreVUE for V Series, De-duplication, NetFlow. Min Term is 12 months. Includes bundled Elite-Plus Support.</t>
  </si>
  <si>
    <t>VBL-50T-BN-NV</t>
  </si>
  <si>
    <t>Term License</t>
  </si>
  <si>
    <t>VBL-250T-BN-NV-2-2a</t>
  </si>
  <si>
    <t>Monthly Term license for NetVUE software up to 250TB per day in V Series for cloud and virtual environments. Capabilities included: CoreVUE for V Series, De-duplication, NetFlow. Min Term is 12 months. Includes bundled Elite-Plus Support.</t>
  </si>
  <si>
    <t>VBL-250T-BN-NV</t>
  </si>
  <si>
    <t>VBL-2500T-BN-NV-2-2a</t>
  </si>
  <si>
    <t>Monthly Term license for NetVUE software up to 2,500TB per day in V Series for cloud and virtual environments. Capabilities included: CoreVUE for V Series, De-duplication, NetFlow. Min Term is 12 months. Includes bundled Elite-Plus Support.</t>
  </si>
  <si>
    <t>VBL-2500T-BN-NV</t>
  </si>
  <si>
    <t>VBL-25KT-BN-NV-2-2a</t>
  </si>
  <si>
    <t>Monthly Term license for NetVUE software up to 25,000TB per day in V Series for cloud and virtual environments. Capabilities included: CoreVUE for V Series, De-duplication, NetFlow. Min Term is 12 months. Includes bundled Elite-Plus Support.</t>
  </si>
  <si>
    <t>VBL-25KT-BN-NV</t>
  </si>
  <si>
    <t>FAN-TAX20-2-2a</t>
  </si>
  <si>
    <t>GigaVUE-TA25 Fan Assembly, each (4 required)</t>
  </si>
  <si>
    <t>FAN-TAX20</t>
  </si>
  <si>
    <t>PWR-TAX21-2-2a</t>
  </si>
  <si>
    <t>Power Supply Module, GigaVUE-TA25, AC, each. Not TAA Compliant.</t>
  </si>
  <si>
    <t>PWR-TAX21</t>
  </si>
  <si>
    <t>PWR-TAX22-2-2a</t>
  </si>
  <si>
    <t>Power Supply Module, GigaVUE-TA25, DC, each. Not TAA Compliant.</t>
  </si>
  <si>
    <t>PWR-TAX22</t>
  </si>
  <si>
    <t>Q28-513</t>
  </si>
  <si>
    <t>100G QSFP28, Singlemode CWDM4. Not TAA Compliant.</t>
  </si>
  <si>
    <t>Accessories/Spares</t>
  </si>
  <si>
    <t>QSF-506</t>
  </si>
  <si>
    <t>40G QSFP+ Parallel Singlemode LR for 4x10G Breakout, 1310 nm. Not TAA Compliant.</t>
  </si>
  <si>
    <t>PRT-HC1-Q04X08-2-2a</t>
  </si>
  <si>
    <t>Port Module, GigaVUE-HC1, 4 x 40G QSFP+ cages, 8x10G SFP+ cages</t>
  </si>
  <si>
    <t>PRT-HC1-Q04X08</t>
  </si>
  <si>
    <t>GigaVUE-HC1</t>
  </si>
  <si>
    <t>TAP-M202ULT-2-2a</t>
  </si>
  <si>
    <t>G-TAP M Series 1 RU chassis. Supports up to 2 Multimode Unidirectional TAP modules (TAP-Mxx1ULT). TAA Compliant.</t>
  </si>
  <si>
    <t>TAP-M202ULT</t>
  </si>
  <si>
    <t>TAP-M251ULT-2-2a</t>
  </si>
  <si>
    <t>G-TAP M Series 1/10/25Gb Unidirectional TAP module, 50/50 Multimode, 850nm 50/125um OM5 fiber LC, taps 4 1/10/25Gb links, requires TAP-M202ULT chassis. TAA Compliant.</t>
  </si>
  <si>
    <t>TAP-M251ULT</t>
  </si>
  <si>
    <t>TAP-M451ULT-2-2a</t>
  </si>
  <si>
    <t>G-TAP M Series 40/100Gb MPO Unidirectional TAP module, 50/50 Multimode,  850 nm, 50/125um OM5 fiber MPO, taps 1 40/100Gb link, requires TAP-M202ULT chassis. TAA Compliant.</t>
  </si>
  <si>
    <t>TAP-M451ULT</t>
  </si>
  <si>
    <t>TAP-M271ULT-2-2a</t>
  </si>
  <si>
    <t>G-TAP M Series 1/10/25Gb Unidirectional TAP module, 70/30 Multimode, 850nm 50/125um OM5 fiber LC, taps 4 1/10/25Gb links, requires TAP-M202ULT chassis. TAA Compliant.</t>
  </si>
  <si>
    <t>TAP-M271ULT</t>
  </si>
  <si>
    <t>TAP-M471ULT-2-2a</t>
  </si>
  <si>
    <t>G-TAP M Series 40/100Gb MPO Unidirectional TAP module, 70/30 Multimode, 850 nm, 50/125um OM5 fiber MPO, taps 1 40/100Gb link, requires TAP-M202ULT chassis. TAA Compliant.</t>
  </si>
  <si>
    <t>TAP-M471ULT</t>
  </si>
  <si>
    <t>TAP-M506T-2-2a</t>
  </si>
  <si>
    <t>G-TAP M Series 40/100Gb BIDI TAP module, 50/50 Multimode, 850nm, 50/125um OM5 fiber LC, taps 4 40/100Gb links, requires TAP-M100T or TAP-M200T chassis. TAA Compliant.</t>
  </si>
  <si>
    <t>TAP-M506T</t>
  </si>
  <si>
    <t>PNL-M341T-2-2a</t>
  </si>
  <si>
    <t>G-TAP M Series 40/100Gb Breakout Panel, Multimode, 850nm 50/125um OM5 fiber, 3 MPO Adapters, 12 Duplex LC Adapters, 3 MPO Breakouts, requires TAP-M100T or TAP-M200T chassis. TAA Compliant.</t>
  </si>
  <si>
    <t>PNL-M341T</t>
  </si>
  <si>
    <t>PNL-M343T-2-2a</t>
  </si>
  <si>
    <t>G-TAP M Series 40/100/400Gb Breakout Panel, Singlemode,  1310/1550nm 9/125um SM fiber, 3 MPO Adapters, 12 Duplex LC Adapters, 3 MPO Breakouts, requires TAP-M100T or TAP-M200T chassis. TAA Compliant.</t>
  </si>
  <si>
    <t>PNL-M343T</t>
  </si>
  <si>
    <t>GES-LMS-FDN</t>
  </si>
  <si>
    <t>Single user access to an eLearning Voucher for the Gigamon Academy Foundations e-learning bundle/curriculum for a one-year term.</t>
  </si>
  <si>
    <t>Educational Services</t>
  </si>
  <si>
    <t>GES-LMS-SOL</t>
  </si>
  <si>
    <t>Single user access to an eLearning Voucher for the Gigamon Academy Solutions e-learning bundle/curriculum for a one-year term.</t>
  </si>
  <si>
    <t>GES-LMS-ADV</t>
  </si>
  <si>
    <t>Single user access to an eLearning Voucher for the Gigamon Academy Advanced e-learning bundle/curriculum for a one-year term.</t>
  </si>
  <si>
    <t>GVS-TAX01-HW</t>
  </si>
  <si>
    <t>GigaVUE-TA10 node, 4 40G QSFP+ cages + 48 10G SFP+ cages, 2 power supplies, 2 Fan trays, AC power; all ports enabled. (EOS July 30, 2021).  Hardware only.  Must pair with appropriate GigaVUE-OS Software License.</t>
  </si>
  <si>
    <t>GVS-TAX01-SW-PL</t>
  </si>
  <si>
    <t>GigaVUE-OS Perpetual Software License for GVS-TAX01-HW. Desired Software Support Program must be added.</t>
  </si>
  <si>
    <t>GVS-TAX01-SW-TM-2-2a</t>
  </si>
  <si>
    <t>GigaVUE-OS Term Software License for GVS-TAX01-HW. Includes Elite-Plus Software Support Program.</t>
  </si>
  <si>
    <t>GVS-TAX01-SW-TM</t>
  </si>
  <si>
    <t>GVS-TAX02-HW</t>
  </si>
  <si>
    <t>GigaVUE-TA10 node, 4 40G QSFP+ cages + 48 10G SFP+ cages, 2 power supplies, 2 Fan trays, DC power; all ports enabled. (EOS July 30, 2021).  Hardware only.  Must pair with appropriate GigaVUE-OS Software License.</t>
  </si>
  <si>
    <t>GVS-TAX02-SW-PL</t>
  </si>
  <si>
    <t>GigaVUE-OS Perpetual Software License for GVS-TAX02-HW. Desired Software Support Program must be added.</t>
  </si>
  <si>
    <t>GVS-TAX02-SW-TM-2-2a</t>
  </si>
  <si>
    <t>GigaVUE-OS Term Software License for GVS-TAX02-HW. Includes Elite-Plus Software Support Program.</t>
  </si>
  <si>
    <t>GVS-TAX02-SW-TM</t>
  </si>
  <si>
    <t>GVS-TAX01A-HW</t>
  </si>
  <si>
    <t>GigaVUE-TA10 node, 4 40G QSFP+ cages + 48 10G SFP+ cages, 2 power supplies, 2 Fan trays, AC power; 24 10G ports enabled. (EOS July 30, 2021).  Hardware only.  Must pair with appropriate GigaVUE-OS Software License.</t>
  </si>
  <si>
    <t>GVS-TAX01A-SW-PL</t>
  </si>
  <si>
    <t>GigaVUE-OS Perpetual Software License for GVS-TAX01A-HW. Desired Software Support Program must be added.</t>
  </si>
  <si>
    <t>GVS-TAX01A-SW-TM-2-2a</t>
  </si>
  <si>
    <t>GigaVUE-OS Term Software License for GVS-TAX01A-HW. Includes Elite-Plus Software Support Program.</t>
  </si>
  <si>
    <t>GVS-TAX01A-SW-TM</t>
  </si>
  <si>
    <t>GVS-TAX02A-HW</t>
  </si>
  <si>
    <t>GigaVUE-TA10 node, 4 40G QSFP+ cages + 48 10G SFP+ cages, 2 power supplies, 2 Fan trays, DC power; 24 10G ports enabled. (EOS July 30, 2021).  Hardware only.  Must pair with appropriate GigaVUE-OS Software License.</t>
  </si>
  <si>
    <t>GVS-TAX02A-SW-PL</t>
  </si>
  <si>
    <t>GigaVUE-OS Perpetual Software License for GVS-TAX02A-HW. Desired Software Support Program must be added.</t>
  </si>
  <si>
    <t>GVS-TAX02A-SW-TM-2-2a</t>
  </si>
  <si>
    <t>GigaVUE-OS Term Software License for GVS-TAX02A-HW. Includes Elite-Plus Software Support Program.</t>
  </si>
  <si>
    <t>GVS-TAX02A-SW-TM</t>
  </si>
  <si>
    <t>GVS-TAX21-HW-2-2a</t>
  </si>
  <si>
    <t>GigaVUE-TA25 node, 8 40G/100G QSFP28 cages + 48 1G/10G/25G SFP28 cages, 2 power supplies, 4 fan trays, AC power, all ports enabled..  Hardware only.  Must pair with appropriate GigaVUE-OS Software License.</t>
  </si>
  <si>
    <t>GVS-TAX21-HW</t>
  </si>
  <si>
    <t>GVS-TAX21-SW-PL</t>
  </si>
  <si>
    <t>GigaVUE-OS Perpetual Software License for GVS-TAX21-HW. Desired Software Support Program must be added.</t>
  </si>
  <si>
    <t>GVS-TAX21-SW-TM-2-2a</t>
  </si>
  <si>
    <t>GigaVUE-OS Term Software License for GVS-TAX21-HW. Includes Elite-Plus Software Support Program.</t>
  </si>
  <si>
    <t>GVS-TAX21-SW-TM</t>
  </si>
  <si>
    <t>GVS-TAX22-HW-2-2a</t>
  </si>
  <si>
    <t>GigaVUE-TA25 node, 8 40G/100G QSFP28 cages + 48 1G/10G/25G SFP28 cages, 2 power supplies, 4 fan trays, DC power, all ports enabled..  Hardware only.  Must pair with appropriate GigaVUE-OS Software License.</t>
  </si>
  <si>
    <t>GVS-TAX22-HW</t>
  </si>
  <si>
    <t>GVS-TAX22-SW-PL</t>
  </si>
  <si>
    <t>GigaVUE-OS Perpetual Software License for GVS-TAX22-HW. Desired Software Support Program must be added.</t>
  </si>
  <si>
    <t>GVS-TAX22-SW-TM-2-2a</t>
  </si>
  <si>
    <t>GigaVUE-OS Term Software License for GVS-TAX22-HW. Includes Elite-Plus Software Support Program.</t>
  </si>
  <si>
    <t>GVS-TAX22-SW-TM</t>
  </si>
  <si>
    <t>GVS-TAX21A-HW-2-2a</t>
  </si>
  <si>
    <t>GigaVUE-TA25 node, 8 40G/100G QSFP28 cages + 48 1G/10G/25G SFP28 cages, 2 power supplies, 4 fan trays, AC power, 24 10G/25G ports enabled..  Hardware only.  Must pair with appropriate GigaVUE-OS Software License.</t>
  </si>
  <si>
    <t>GVS-TAX21A-HW</t>
  </si>
  <si>
    <t>GVS-TAX21A-SW-PL</t>
  </si>
  <si>
    <t>GigaVUE-OS Perpetual Software License for GVS-TAX21A-HW. Desired Software Support Program must be added.</t>
  </si>
  <si>
    <t>GVS-TAX21A-SW-TM-2-2a</t>
  </si>
  <si>
    <t>GigaVUE-OS Term Software License for GVS-TAX21A-HW. Includes Elite-Plus Software Support Program.</t>
  </si>
  <si>
    <t>GVS-TAX21A-SW-TM</t>
  </si>
  <si>
    <t>GVS-TAX22A-HW-2-2a</t>
  </si>
  <si>
    <t>GigaVUE-TA25 node, 8 40G/100G QSFP28 cages + 48 1G/10G/25G SFP28 cages, 2 power supplies, 4 fan trays, DC power, 24 10G/25G ports enabled..  Hardware only.  Must pair with appropriate GigaVUE-OS Software License.</t>
  </si>
  <si>
    <t>GVS-TAX22A-HW</t>
  </si>
  <si>
    <t>GVS-TAX22A-SW-PL</t>
  </si>
  <si>
    <t>GigaVUE-OS Perpetual Software License for GVS-TAX22A-HW. Desired Software Support Program must be added.</t>
  </si>
  <si>
    <t>GVS-TAX22A-SW-TM-2-2a</t>
  </si>
  <si>
    <t>GigaVUE-OS Term Software License for GVS-TAX22A-HW. Includes Elite-Plus Software Support Program.</t>
  </si>
  <si>
    <t>GVS-TAX22A-SW-TM</t>
  </si>
  <si>
    <t>GVS-TAQ01-HW</t>
  </si>
  <si>
    <t>GigaVUE-TA40 node, 32 40G QSFP+ cages, 2 power supplies, 3 fan trays, AC power; all ports enabled. (EOS July 30, 2021).  Hardware only.  Must pair with appropriate GigaVUE-OS Software License.</t>
  </si>
  <si>
    <t>GVS-TAQ01-SW-PL</t>
  </si>
  <si>
    <t>GigaVUE-OS Perpetual Software License for GVS-TAQ01-HW. Desired Software Support Program must be added.</t>
  </si>
  <si>
    <t>GVS-TAQ01-SW-TM-2-2a</t>
  </si>
  <si>
    <t>GigaVUE-OS Term Software License for GVS-TAQ01-HW. Includes Elite-Plus Software Support Program.</t>
  </si>
  <si>
    <t>GVS-TAQ01-SW-TM</t>
  </si>
  <si>
    <t>GVS-TAQ02-HW</t>
  </si>
  <si>
    <t>GigaVUE-TA40 node, 32 40G QSFP+ cages, 2 power supplies, 3 fan trays, DC power; all ports enabled. (EOS July 30, 2021).  Hardware only.  Must pair with appropriate GigaVUE-OS Software License.</t>
  </si>
  <si>
    <t>GVS-TAQ02-SW-PL</t>
  </si>
  <si>
    <t>GigaVUE-OS Perpetual Software License for GVS-TAQ02-HW. Desired Software Support Program must be added.</t>
  </si>
  <si>
    <t>GVS-TAQ02-SW-TM-2-2a</t>
  </si>
  <si>
    <t>GigaVUE-OS Term Software License for GVS-TAQ02-HW. Includes Elite-Plus Software Support Program.</t>
  </si>
  <si>
    <t>GVS-TAQ02-SW-TM</t>
  </si>
  <si>
    <t>GVS-TAC01-HW-2-2a</t>
  </si>
  <si>
    <t>GigaVUE-TA100 node, 32 100G QSFP28 cages, 2 power supplies, 3 fan trays, AC power; 16 ports enabled.  Hardware only.  Must pair with appropriate GigaVUE-OS Software License. (EOS Feb 28, 2022)</t>
  </si>
  <si>
    <t>GVS-TAC01-HW</t>
  </si>
  <si>
    <t>GVS-TAC01-SW-PL</t>
  </si>
  <si>
    <t>GigaVUE-OS Perpetual Software License for GVS-TAC01-HW. Desired Software Support Program must be added.</t>
  </si>
  <si>
    <t>GVS-TAC01-SW-TM-2-2a</t>
  </si>
  <si>
    <t>GigaVUE-OS Term Software License for GVS-TAC01-HW. Includes Elite-Plus Software Support Program. (EOS Feb 28, 2022)</t>
  </si>
  <si>
    <t>GVS-TAC01-SW-TM</t>
  </si>
  <si>
    <t>GVS-TAC02-HW-2-2a</t>
  </si>
  <si>
    <t>GigaVUE-TA100 node, 32 100G QSFP28 cages, 2 power supplies, 3 fan trays, DC power; 16 ports enabled.  Hardware only.  Must pair with appropriate GigaVUE-OS Software License. (EOS Feb 28, 2022)</t>
  </si>
  <si>
    <t>GVS-TAC02-HW</t>
  </si>
  <si>
    <t>GVS-TAC02-SW-PL</t>
  </si>
  <si>
    <t>GigaVUE-OS Perpetual Software License for GVS-TAC02-HW. Desired Software Support Program must be added.</t>
  </si>
  <si>
    <t>GVS-TAC02-SW-TM-2-2a</t>
  </si>
  <si>
    <t>GigaVUE-OS Term Software License for GVS-TAC02-HW. Includes Elite-Plus Software Support Program. (EOS Feb 28, 2022)</t>
  </si>
  <si>
    <t>GVS-TAC02-SW-TM</t>
  </si>
  <si>
    <t>GVS-TACX1-HW</t>
  </si>
  <si>
    <t>GigaVUE-TA100 node, 20 100G CXP cages, 8 QSFP28 cages, 2 power supplies, 3 fan trays, AC power, all ports enabled. (EOS May 31, 2021).  Hardware only.  Must pair with appropriate GigaVUE-OS Software License.</t>
  </si>
  <si>
    <t>GVS-TACX1-SW-PL</t>
  </si>
  <si>
    <t>GigaVUE-OS Perpetual Software License for GVS-TACX1-HW. Desired Software Support Program must be added.</t>
  </si>
  <si>
    <t>GVS-TACX1-SW-TM-2-2a</t>
  </si>
  <si>
    <t>GigaVUE-OS Term Software License for GVS-TACX1-HW. Includes Elite-Plus Software Support Program.</t>
  </si>
  <si>
    <t>GVS-TACX1-SW-TM</t>
  </si>
  <si>
    <t>GVS-TACX2-HW</t>
  </si>
  <si>
    <t>GigaVUE-TA100 node, 20 100G CXP cages, 8 QSFP28 cages, 2 power supplies, 3 fan trays, DC power, all ports enabled. (EOS May 31, 2021).  Hardware only.  Must pair with appropriate GigaVUE-OS Software License.</t>
  </si>
  <si>
    <t>GVS-TACX2-SW-PL</t>
  </si>
  <si>
    <t>GigaVUE-OS Perpetual Software License for GVS-TACX2-HW. Desired Software Support Program must be added.</t>
  </si>
  <si>
    <t>GVS-TACX2-SW-TM-2-2a</t>
  </si>
  <si>
    <t>GigaVUE-OS Term Software License for GVS-TACX2-HW. Includes Elite-Plus Software Support Program.</t>
  </si>
  <si>
    <t>GVS-TACX2-SW-TM</t>
  </si>
  <si>
    <t>GVS-TAC21-HW-2-2a</t>
  </si>
  <si>
    <t>GigaVUE-TA200 node, 64 100G QSFP28 cages, 2 power supplies, 4 fan trays, AC power; 32 ports enabled.  Hardware only.  Must pair with appropriate GigaVUE-OS Software License.</t>
  </si>
  <si>
    <t>GVS-TAC21-HW</t>
  </si>
  <si>
    <t>GVS-TAC21-SW-PL</t>
  </si>
  <si>
    <t>GigaVUE-OS Perpetual Software License for GVS-TAC21-HW. Desired Software Support Program must be added.</t>
  </si>
  <si>
    <t>GVS-TAC21-SW-TM-2-2a</t>
  </si>
  <si>
    <t>GigaVUE-OS Term Software License for GVS-TAC21-HW. Includes Elite-Plus Software Support Program.</t>
  </si>
  <si>
    <t>GVS-TAC21-SW-TM</t>
  </si>
  <si>
    <t>GVS-TAC22-HW-2-2a</t>
  </si>
  <si>
    <t>GigaVUE-TA200 node, 64 100G QSFP28 cages, 2 power supplies, 4 fan trays, DC power; 32 ports enabled.  Hardware only.  Must pair with appropriate GigaVUE-OS Software License.</t>
  </si>
  <si>
    <t>GVS-TAC22-HW</t>
  </si>
  <si>
    <t>GVS-TAC22-SW-PL</t>
  </si>
  <si>
    <t>GigaVUE-OS Perpetual Software License for GVS-TAC22-HW. Desired Software Support Program must be added.</t>
  </si>
  <si>
    <t>GVS-TAC22-SW-TM-2-2a</t>
  </si>
  <si>
    <t>GigaVUE-OS Term Software License for GVS-TAC22-HW. Includes Elite-Plus Software Support Program.</t>
  </si>
  <si>
    <t>GVS-TAC22-SW-TM</t>
  </si>
  <si>
    <t>UPG-TAX00-SW-PL</t>
  </si>
  <si>
    <t>Perpetual license for  Upgrade option for GVS-TAX01A/TAX02A to enable all GigaVUE-TA10 ports (48 10G + 4 40G).  Desired Software Support Program must be added.</t>
  </si>
  <si>
    <t>UPG-TAX00-SW-TM-2-2a</t>
  </si>
  <si>
    <t>Monthly subscription license to enable all GigaVUE-TA10 ports (48 10G + 4 40G) on GVS-TAX01A/TAX02A. Includes embedded Elite-Plus Support.  Initial term must be 12 months or longer.</t>
  </si>
  <si>
    <t>UPG-TAX00-SW-TM</t>
  </si>
  <si>
    <t>UPG-TAC24-SW-PL</t>
  </si>
  <si>
    <t>Perpetual license for  Upgrade option to enable 24 GigaVUE-TA100 ports (24 100G).  Desired Software Support Program must be added.</t>
  </si>
  <si>
    <t>UPG-TAC24-SW-TM</t>
  </si>
  <si>
    <t>Monthly subscription license to enable 24 GigaVUE-TA100 ports (24 100G).  Includes embedded Elite-Plus Support.  Initial term must be 12 months or longer. (EOS Feb 28, 2022)</t>
  </si>
  <si>
    <t>UPG-TAC32-SW-PL</t>
  </si>
  <si>
    <t>Perpetual license for  Upgrade option to enable 32 GigaVUE-TA100 ports (32 100G); requires UPG-TAC24.  Desired Software Support Program must be added.</t>
  </si>
  <si>
    <t>UPG-TAC32-SW-TM</t>
  </si>
  <si>
    <t>Monthly subscription license to enable 32 GigaVUE-TA100 ports (32 100G).  Includes embedded Elite-Plus Support.  Initial term must be 12 months or longer. (EOS Feb 28, 2022)</t>
  </si>
  <si>
    <t>UPG-TAC20-SW-PL</t>
  </si>
  <si>
    <t>Perpetual license for  Upgrade option for GigaVUE-TA200 to enable all 64 100G ports.  Desired Software Support Program must be added.</t>
  </si>
  <si>
    <t>UPG-TAC20-SW-TM-2-2a</t>
  </si>
  <si>
    <t>Monthly subscription license to enable 64 GigaVUE-TA200 ports (64 100G).  Includes embedded Elite-Plus Support.  Initial term must be 12 months or longer.</t>
  </si>
  <si>
    <t>UPG-TAC20-SW-TM</t>
  </si>
  <si>
    <t>UPG-TAX20-SW-PL</t>
  </si>
  <si>
    <t>Perpetual license for  Upgrade option for GVS-TAX25 to enable all GigaVUE-TA25 ports (48 1G/10G/25G + 8 40G/100G).  Desired Software Support Program must be added.</t>
  </si>
  <si>
    <t>UPG-TAX20-SW-TM-2-2a</t>
  </si>
  <si>
    <t>Monthly subscription license for upgrade option for GVS-TAX21A-SW-TM/TAX22A-SW-TM to enable all GigaVUE-TA25 ports (48 10G + 4 40G). Includes embedded Elite-Plus Support.  Initial term must be 12 months or longer.</t>
  </si>
  <si>
    <t>UPG-TAX20-SW-TM</t>
  </si>
  <si>
    <t>CLS-TA100-SW-PL</t>
  </si>
  <si>
    <t>Perpetual license for  Advanced Features License, GigaVUE-TA1/10 and 10G Whitebox, per node.  Desired Software Support Program must be added.</t>
  </si>
  <si>
    <t>CLS-TA100-SW-TM-2-2a</t>
  </si>
  <si>
    <t>Monthly subscription license to enable Advanced Features on GigaVUE-TA1/10 and 10G Whitebox, per node. Includes embedded Elite-Plus Support. Initial term must be 12 months or longer.</t>
  </si>
  <si>
    <t>CLS-TA100-SW-TM</t>
  </si>
  <si>
    <t>CLS-TAQ00-SW-PL</t>
  </si>
  <si>
    <t>Perpetual license for  Advanced Features License, GigaVUE-TA40, per node.  Desired Software Support Program must be added.</t>
  </si>
  <si>
    <t>CLS-TAQ00-SW-TM-2-2a</t>
  </si>
  <si>
    <t>Monthly subscription license to enable Advanced Features on GigaVUE-TA40, per node. Includes embedded Elite-Plus Support. Initial term must be 12 months or longer.</t>
  </si>
  <si>
    <t>CLS-TAQ00-SW-TM</t>
  </si>
  <si>
    <t>CLS-TAC00-SW-PL</t>
  </si>
  <si>
    <t>Perpetual license for  Advanced Features License, GigaVUE-TA100, per node.  Desired Software Support Program must be added.</t>
  </si>
  <si>
    <t>CLS-TAC00-SW-TM</t>
  </si>
  <si>
    <t>Monthly subscription license to enable Advanced Features on GigaVUE-TA100, per node. Includes embedded Elite-Plus Support. Initial term must be 12 months or longer. (EOS Feb 28, 2022)</t>
  </si>
  <si>
    <t>CLS-TAC20-SW-PL</t>
  </si>
  <si>
    <t>Perpetual license for  Advanced Feature License, GigaVUE-TA200, per node.  Desired Software Support Program must be added.</t>
  </si>
  <si>
    <t>CLS-TAC20-SW-TM-2-2a</t>
  </si>
  <si>
    <t>Monthly subscription license to enable Advanced Features on GigaVUE-TA200, per node. Includes embedded Elite-Plus Support. Initial term must be 12 months or longer.</t>
  </si>
  <si>
    <t>CLS-TAC20-SW-TM</t>
  </si>
  <si>
    <t>CLS-TAX20-SW-PL</t>
  </si>
  <si>
    <t>Perpetual license for  Advanced Features License, GigaVUE-TA25, per node.  Desired Software Support Program must be added.</t>
  </si>
  <si>
    <t>CLS-TAX20-SW-TM-2-2a</t>
  </si>
  <si>
    <t>Monthly subscription license for  Advanced Features License, GigaVUE-TA25, per node.   Includes embedded Elite-Plus Support.  Initial term must be 12 months or longer.</t>
  </si>
  <si>
    <t>CLS-TAX20-SW-TM</t>
  </si>
  <si>
    <t>GVS-HC101-HW-2-2a</t>
  </si>
  <si>
    <t>GigaVUE-HC1 chassis, 12 1G/10G cages, 4 10/100/1000M Copper, fan tray, 2 power supplies, AC power.  Hardware only.  Must pair with appropriate GigaVUE-OS Software License.</t>
  </si>
  <si>
    <t>GVS-HC101-HW</t>
  </si>
  <si>
    <t>GVS-HC101-SW-PL</t>
  </si>
  <si>
    <t>GigaVUE-OS Perpetual Software License for GVS-HC101-HW. Desired Software Support Program must be added.</t>
  </si>
  <si>
    <t>GVS-HC101-SW-TM-2-2a</t>
  </si>
  <si>
    <t>GigaVUE-OS Term Software License for GVS-HC101-HW. Includes Elite-Plus Software Support Program.</t>
  </si>
  <si>
    <t>GVS-HC101-SW-TM</t>
  </si>
  <si>
    <t>GVS-HC102-HW-2-2a</t>
  </si>
  <si>
    <t>GigaVUE-HC1 chassis, 12 1G/10G cages, 4 10/100/1000M Copper, fan tray, 2 power supplies, DC power.  Hardware only.  Must pair with appropriate GigaVUE-OS Software License.</t>
  </si>
  <si>
    <t>GVS-HC102-HW</t>
  </si>
  <si>
    <t>GVS-HC102-SW-PL</t>
  </si>
  <si>
    <t>GigaVUE-OS Perpetual Software License for GVS-HC102-HW. Desired Software Support Program must be added.</t>
  </si>
  <si>
    <t>GVS-HC102-SW-TM-2-2a</t>
  </si>
  <si>
    <t>GigaVUE-OS Term Software License for GVS-HC102-HW. Includes Elite-Plus Software Support Program.</t>
  </si>
  <si>
    <t>GVS-HC102-SW-TM</t>
  </si>
  <si>
    <t>PRT-HC1-X12-HW-2-2a</t>
  </si>
  <si>
    <t>Port Module, GigaVUE-HC1, 12x10G SFP+ cages.  Hardware only.  Must pair with appropriate GigaVUE-OS Software License.</t>
  </si>
  <si>
    <t>PRT-HC1-X12-HW</t>
  </si>
  <si>
    <t>PRT-HC1-X12-SW-PL</t>
  </si>
  <si>
    <t>GigaVUE-OS Perpetual Software License for PRT-HC1-X12-HW. Desired Software Support Program must be added.</t>
  </si>
  <si>
    <t>PRT-HC1-X12-SW-TM-2-2a</t>
  </si>
  <si>
    <t>GigaVUE-OS Term Software License for PRT-HC1-X12-HW. Includes Elite-Plus Software Support Program.</t>
  </si>
  <si>
    <t>PRT-HC1-X12-SW-TM</t>
  </si>
  <si>
    <t>PRT-HC1-Q04X08-HW-2-2a</t>
  </si>
  <si>
    <t>Port Module, GigaVUE-HC1, 4 x 40G QSFP+ cages, 8x10G SFP+ cages.  Hardware only.  Must pair with appropriate GigaVUE-OS Software License.</t>
  </si>
  <si>
    <t>PRT-HC1-Q04X08-HW</t>
  </si>
  <si>
    <t>PRT-HC1-Q04X08-SW-PL</t>
  </si>
  <si>
    <t>GigaVUE-OS Perpetual Software License for PRT-HC1-Q04X08-HW. Desired Software Support Program must be added.</t>
  </si>
  <si>
    <t>PRT-HC1-Q04X08-SW-TM-2-2a</t>
  </si>
  <si>
    <t>GigaVUE-OS Term Software License for PRT-HC1-Q04X08-HW. Includes Elite-Plus Software Support Program.</t>
  </si>
  <si>
    <t>PRT-HC1-Q04X08-SW-TM</t>
  </si>
  <si>
    <t>BPS-HC1-D25A24-HW-2-2a</t>
  </si>
  <si>
    <t>Bypass Combo Module, GigaVUE-HC1, 2 SX/SR 50/125 BPS pairs, 4 10G SFP+ cages.  Hardware only.  Must pair with appropriate GigaVUE-OS Software License.</t>
  </si>
  <si>
    <t>BPS-HC1-D25A24-HW</t>
  </si>
  <si>
    <t>BPS-HC1-D25A24-SW-PL</t>
  </si>
  <si>
    <t>GigaVUE-OS Perpetual Software License for BPS-HC1-D25A24-HW. Desired Software Support Program must be added.</t>
  </si>
  <si>
    <t>BPS-HC1-D25A24-SW-TM-2-2a</t>
  </si>
  <si>
    <t>GigaVUE-OS Term Software License for BPS-HC1-D25A24-HW. Includes Elite-Plus Software Support Program.</t>
  </si>
  <si>
    <t>BPS-HC1-D25A24-SW-TM</t>
  </si>
  <si>
    <t>TAP-HC1-G10040-HW-2-2a</t>
  </si>
  <si>
    <t>TAP and Bypass module, GigaVUE-HC1, 10/100/1000M Copper, 4 TAPs or Bypass pairs.  Hardware only.  Must pair with appropriate GigaVUE-OS Software License.</t>
  </si>
  <si>
    <t>TAP-HC1-G10040-HW</t>
  </si>
  <si>
    <t>TAP-HC1-G10040-SW-PL</t>
  </si>
  <si>
    <t>GigaVUE-OS Perpetual Software License for TAP-HC1-G10040-HW. Desired Software Support Program must be added.</t>
  </si>
  <si>
    <t>TAP-HC1-G10040-SW-TM-2-2a</t>
  </si>
  <si>
    <t>GigaVUE-OS Term Software License for TAP-HC1-G10040-HW. Includes Elite-Plus Software Support Program.</t>
  </si>
  <si>
    <t>TAP-HC1-G10040-SW-TM</t>
  </si>
  <si>
    <t>SMT-HC1-S-HW-2-2a</t>
  </si>
  <si>
    <t>Gen3 GigaSMART, GIgaVUE-HC1, Module. Includes ThreatINSIGHT sensor app, Slicing, Masking, &amp; Source Port ID Software (Only works with feature licenses &amp; bundles that have a ‘SMT-HC1-Gen3’ prefix).  Hardware only.  Must pair with appropriate GigaVUE-OS Sof</t>
  </si>
  <si>
    <t>SMT-HC1-S-HW</t>
  </si>
  <si>
    <t>SMT-HC1-S-SW-PL</t>
  </si>
  <si>
    <t>GigaVUE-OS Perpetual Software License for SMT-HC1-S-HW. Desired Software Support Program must be added.</t>
  </si>
  <si>
    <t>SMT-HC1-S-SW-TM-2-2a</t>
  </si>
  <si>
    <t>GigaVUE-OS Term Software License for SMT-HC1-S-HW. Includes Elite-Plus Software Support Program.</t>
  </si>
  <si>
    <t>SMT-HC1-S-SW-TM</t>
  </si>
  <si>
    <t>SMT-HC1-GEN2-BSE-SW-PL</t>
  </si>
  <si>
    <t>Perpetual license for  GigaSMART, GigaVUE-HC1 license combo, includes Slicing, Masking, &amp; Source Port features .  Desired Software Support Program must be added.  This is a Gen 2 license.</t>
  </si>
  <si>
    <t>SMT-HC1-GEN2-BSE-SW-TM-2-2a</t>
  </si>
  <si>
    <t>Monthly subscription license for  GigaSMART, GigaVUE-HC1 license combo, includes Slicing, Masking, &amp; Source Port features .   Includes embedded Elite-Plus Support.  Initial term must be 12 months or longer.  This is a Gen 2 license.</t>
  </si>
  <si>
    <t>SMT-HC1-GEN2-BSE-SW-TM</t>
  </si>
  <si>
    <t>SMT-HC1-GEN2-DD1-SW-PL</t>
  </si>
  <si>
    <t>Perpetual license for  GigaSMART, GigaVUE-HC1 license, De-Duplication feature.  Desired Software Support Program must be added.  This is a Gen 2 license.</t>
  </si>
  <si>
    <t>SMT-HC1-GEN2-DD1-SW-TM-2-2a</t>
  </si>
  <si>
    <t>Monthly subscription license for  GigaSMART, GigaVUE-HC1 license, De-Duplication feature.   Includes embedded Elite-Plus Support.  Initial term must be 12 months or longer.  This is a Gen 2 license.</t>
  </si>
  <si>
    <t>SMT-HC1-GEN2-DD1-SW-TM</t>
  </si>
  <si>
    <t>SMT-HC1-GEN3-DD1-SW-PL</t>
  </si>
  <si>
    <t>Perpetual license for  GigaSMART, GigaVUE-HC1, De-Duplication feature license for GigaVUE-HC1 Gen3 GigaSMART module; requires SMT-HC1-S.  Desired Software Support Program must be added.  This is a Gen 3 license.</t>
  </si>
  <si>
    <t>SMT-HC1-GEN3-DD1-SW-TM-2-2a</t>
  </si>
  <si>
    <t>Monthly subscription license for  GigaSMART, GigaVUE-HC1, De-Duplication feature license for GigaVUE-HC1 Gen3 GigaSMART module; requires SMT-HC1-S.   Includes embedded Elite-Plus Support.  Initial term must be 12 months or longer.  This is a Gen 3 licens</t>
  </si>
  <si>
    <t>SMT-HC1-GEN3-DD1-SW-TM</t>
  </si>
  <si>
    <t>SMT-HC1-GEN3-AT1-SW-PL</t>
  </si>
  <si>
    <t>Perpetual license for  GigaSMART, GigaVUE-HC1, Advanced Tunneling feature license per GigaVUE-HC1 Gen3 GigaSMART module; includes tunnel encapsulation and tunnel decapsulation. Requires SMT-HC1-S.  Desired Software Support Program must be added.  This is</t>
  </si>
  <si>
    <t>SMT-HC1-GEN3-AT1-SW-TM-2-2a</t>
  </si>
  <si>
    <t>Monthly subscription license for  GigaSMART, GigaVUE-HC1, Advanced Tunneling feature license per GigaVUE-HC1 Gen3 GigaSMART module; includes tunnel encapsulation and tunnel decapsulation. Requires SMT-HC1-S.   Includes embedded Elite-Plus Support.  Initi</t>
  </si>
  <si>
    <t>SMT-HC1-GEN3-AT1-SW-TM</t>
  </si>
  <si>
    <t>SMT-HC1-GEN2-HS1-SW-PL</t>
  </si>
  <si>
    <t>Perpetual license for  GigaSMART, GigaVUE-HC1 license, Header Stripping feature.  Desired Software Support Program must be added.  This is a Gen 2 license.</t>
  </si>
  <si>
    <t>SMT-HC1-GEN2-HS1-SW-TM-2-2a</t>
  </si>
  <si>
    <t>Monthly subscription license for  GigaSMART, GigaVUE-HC1 license, Header Stripping feature.   Includes embedded Elite-Plus Support.  Initial term must be 12 months or longer.  This is a Gen 2 license.</t>
  </si>
  <si>
    <t>SMT-HC1-GEN2-HS1-SW-TM</t>
  </si>
  <si>
    <t>SMT-HC1-GEN2-TUN-SW-PL</t>
  </si>
  <si>
    <t>Perpetual license for  GigaSMART, GigaVUE-HC1 license, Tunneling feature (includes ERSPAN De-Encapsulation).  Desired Software Support Program must be added.  This is a Gen 2 license.</t>
  </si>
  <si>
    <t>SMT-HC1-GEN2-TUN-SW-TM-2-2a</t>
  </si>
  <si>
    <t>Monthly subscription license for  GigaSMART, GigaVUE-HC1 license, Tunneling feature (includes ERSPAN De-Encapsulation).   Includes embedded Elite-Plus Support.  Initial term must be 12 months or longer.  This is a Gen 2 license.</t>
  </si>
  <si>
    <t>SMT-HC1-GEN2-TUN-SW-TM</t>
  </si>
  <si>
    <t>SMT-HC1-GEN2-NF1-SW-PL</t>
  </si>
  <si>
    <t>Perpetual license for  GigaSMART, GigaVUE-HC1 license, NetFlow Generation feature .  Desired Software Support Program must be added.  This is a Gen 2 license.</t>
  </si>
  <si>
    <t>SMT-HC1-GEN2-NF1-SW-TM-2-2a</t>
  </si>
  <si>
    <t>Monthly subscription license for  GigaSMART, GigaVUE-HC1 license, NetFlow Generation feature .   Includes embedded Elite-Plus Support.  Initial term must be 12 months or longer.  This is a Gen 2 license.</t>
  </si>
  <si>
    <t>SMT-HC1-GEN2-NF1-SW-TM</t>
  </si>
  <si>
    <t>SMT-HC1-GEN2-FVU-SW-PL</t>
  </si>
  <si>
    <t>Perpetual license for  GigaSMART, GigaVUE-HC1 license, FlowVUE feature license.  Desired Software Support Program must be added.  This is a Gen 2 license.</t>
  </si>
  <si>
    <t>SMT-HC1-GEN2-FVU-SW-TM-2-2a</t>
  </si>
  <si>
    <t>Monthly subscription license for  GigaSMART, GigaVUE-HC1 license, FlowVUE feature license.   Includes embedded Elite-Plus Support.  Initial term must be 12 months or longer.  This is a Gen 2 license.</t>
  </si>
  <si>
    <t>SMT-HC1-GEN2-FVU-SW-TM</t>
  </si>
  <si>
    <t>SMT-HC1-GEN2-APF-SW-PL</t>
  </si>
  <si>
    <t>Perpetual license for  GigaSMART, GigaVUE-HC1 license, Adaptive Packet Filtering feature.  Desired Software Support Program must be added.  This is a Gen 2 license.</t>
  </si>
  <si>
    <t>SMT-HC1-GEN2-APF-SW-TM-2-2a</t>
  </si>
  <si>
    <t>Monthly subscription license for  GigaSMART, GigaVUE-HC1 license, Adaptive Packet Filtering feature.   Includes embedded Elite-Plus Support.  Initial term must be 12 months or longer.  This is a Gen 2 license.</t>
  </si>
  <si>
    <t>SMT-HC1-GEN2-APF-SW-TM</t>
  </si>
  <si>
    <t>SMT-HC1-GEN2-ASF-SW-PL</t>
  </si>
  <si>
    <t>Perpetual license for  GigaSMART, GigaVUE-HC1 license, Application Session Filtering feature license; requires SMT-HC1-APF.  Desired Software Support Program must be added.  This is a Gen 2 license.</t>
  </si>
  <si>
    <t>SMT-HC1-GEN2-ASF-SW-TM</t>
  </si>
  <si>
    <t>Monthly subscription license for  GigaSMART, GigaVUE-HC1 license, Application Session Filtering feature license; requires SMT-HC1-APF.   Includes embedded Elite Support.  Initial term must be 12 months or longer.  This is a Gen 2 license.</t>
  </si>
  <si>
    <t>SMT-HC1-GEN2-SSL-SW-PL</t>
  </si>
  <si>
    <t>Perpetual license for  GigaSMART, GigaVUE-HC1, SSL Decryption for Out of Band Tools Feature License.  Desired Software Support Program must be added.  This is a Gen 2 license.</t>
  </si>
  <si>
    <t>SMT-HC1-GEN2-SSL-SW-TM-2-2a</t>
  </si>
  <si>
    <t>Monthly subscription license for  GigaSMART, GigaVUE-HC1, SSL Decryption for Out of Band Tools Feature License.   Includes embedded Elite-Plus Support.  Initial term must be 12 months or longer.  This is a Gen 2 license.</t>
  </si>
  <si>
    <t>SMT-HC1-GEN2-SSL-SW-TM</t>
  </si>
  <si>
    <t>SMT-HC1-GEN2-INSSL-SW-PL</t>
  </si>
  <si>
    <t>Perpetual license for  GigaSMART, GigaVUE-HC1, SSL Decryption for Inline and Out of Band Tools Feature License.  Desired Software Support Program must be added.  This is a Gen 2 license.</t>
  </si>
  <si>
    <t>SMT-HC1-GEN2-INSSL-SW-TM-2-2a</t>
  </si>
  <si>
    <t>Monthly subscription license for  GigaSMART, GigaVUE-HC1, SSL Decryption for Inline and Out of Band Tools Feature License.   Includes embedded Elite-Plus Support.  Initial term must be 12 months or longer.  This is a Gen 2 license.</t>
  </si>
  <si>
    <t>SMT-HC1-GEN2-INSSL-SW-TM</t>
  </si>
  <si>
    <t>SMT-HC1-GEN2-UPGINSSL-SW-PL</t>
  </si>
  <si>
    <t>Perpetual license for  GigaSMART, GigaVUE-HC1, SSL Decryption Upgrade for Inline Tools Feature License per GigaSMART module.  Desired Software Support Program must be added.  This is a Gen 2 license.</t>
  </si>
  <si>
    <t>SMT-HC1-GEN2-UPGINSSL-SW-TM-2-2a</t>
  </si>
  <si>
    <t>Monthly subscription license for  GigaSMART, GigaVUE-HC1, SSL Decryption Upgrade for Inline Tools Feature License per GigaSMART module.   Includes embedded Elite-Plus Support.  Initial term must be 12 months or longer.  This is a Gen 2 license.</t>
  </si>
  <si>
    <t>SMT-HC1-GEN2-UPGINSSL-SW-TM</t>
  </si>
  <si>
    <t>SMT-HC1-GEN2-AFI-SW-TM-2-2a</t>
  </si>
  <si>
    <t>Monthly subscription license for  Application Filtering Intelligence (1 Month ) – GigaVUE-HC1 (12-month Minimum). *Includes bundled Elite-Plus Support.</t>
  </si>
  <si>
    <t>SMT-HC1-GEN2-AFI-SW-TM</t>
  </si>
  <si>
    <t>SMT-HC1-GEN2-AMI-SW-TM-2-2a</t>
  </si>
  <si>
    <t>Monthly subscription license for  Application Metadata Intelligence (1 Month) – GigaVUE-HC1 (12-Month Minimum). *Includes bundled Elite-Plus Support.</t>
  </si>
  <si>
    <t>SMT-HC1-GEN2-AMI-SW-TM</t>
  </si>
  <si>
    <t>SMT-HC1-GEN2-AFS-SW-TM-2-2a</t>
  </si>
  <si>
    <t>Monthly subscription license for Advanced Flow Slicing (1 Month ) – GigaVUE-HC1 (12-month Minimum). *Includes bundled Elite-Plus Support.</t>
  </si>
  <si>
    <t>SMT-HC1-GEN2-AFS-SW-TM</t>
  </si>
  <si>
    <t>SMT-HC1-GEN2--BN-CORE-SW-TM-1</t>
  </si>
  <si>
    <t>Monthly subscription license for  CoreVUE GigaSMART software bundle for GigaVUE-HC1. Capabilities included: Advanced Tunneling, Header Stripping, Slicing, Masking, Advanced Load Balancing, Source Port Labeling. Includes bundled Elite Support.</t>
  </si>
  <si>
    <t>SMT-HC1-GEN2--BN-CORE-SW-TM</t>
  </si>
  <si>
    <t>SMT-HC1-GEN2--BN-NV-SW-TM-1</t>
  </si>
  <si>
    <t>Monthly subscription license for  NetVUE GigaSMART software bundle for GigaVUE-HC1. Capabilities included: All CoreVUE GigaSMART capabilities, De-duplication, NetFlow Generation. Includes bundled Elite Support.</t>
  </si>
  <si>
    <t>SMT-HC1-GEN2--BN-NV-SW-TM</t>
  </si>
  <si>
    <t>SMT-HC1-GEN2--BN-NVP-SW-TM-1</t>
  </si>
  <si>
    <t>Monthly subscription license for  NetVUE Plus GigaSMART software bundle for GigaVUE-HC1. Capabilities included: All NetVUE GigaSMART capabilities, Application Filtering Intelligence, Adaptive Packet Filtering, Advanced Flow Slicing.  Includes bundled Eli</t>
  </si>
  <si>
    <t>SMT-HC1-GEN2--BN-NVP-SW-TM</t>
  </si>
  <si>
    <t>SMT-HC1-GEN2--BN-SV-SW-TM-1</t>
  </si>
  <si>
    <t>Monthly subscription license for  SecureVUE GigaSMART software bundle for GigaVUE-HC1. Capabilities included: All CoreVUE GigaSMART capabilities, De-duplication, NetFlow Generation, Adaptive Packet Filtering. Includes bundled Elite Support.</t>
  </si>
  <si>
    <t>SMT-HC1-GEN2--BN-SV-SW-TM</t>
  </si>
  <si>
    <t>SMT-HC1-GEN2--BN-SVP-SW-TM-1</t>
  </si>
  <si>
    <t>Monthly subscription license for  SecureVUE Plus GigaSMART software bundle for GigaVUE-HC1. Capabilities included: All SecureVUE GigaSMART capabilities, SSL Decryption (Inline + Out-of-band), Application Filtering Intelligence, Application Metadata Intel</t>
  </si>
  <si>
    <t>SMT-HC1-GEN2--BN-SVP-SW-TM</t>
  </si>
  <si>
    <t>SMT-HC1-GEN2--UPGBN-NV-SW-TM-1</t>
  </si>
  <si>
    <t>Monthly subscription license for  Upgrade SKU from CoreVUE to NetVUE GigaSMART software bundle for GigaVUE-HC1. Includes bundled Elite Support.</t>
  </si>
  <si>
    <t>SMT-HC1-GEN2--UPGBN-NV-SW-TM</t>
  </si>
  <si>
    <t>SMT-HC1-GEN2--UPGBN-NVP-SW-TM-1</t>
  </si>
  <si>
    <t>Monthly subscription license for  Upgrade SKU from NetVUE to NetVUE Plus GigaSMART software bundle for GigaVUE-HC1. Includes bundled Elite Support.</t>
  </si>
  <si>
    <t>SMT-HC1-GEN2--UPGBN-NVP-SW-TM</t>
  </si>
  <si>
    <t>SMT-HC1-GEN2--UPGBN-SV-SW-TM-1</t>
  </si>
  <si>
    <t>Monthly subscription license for  Upgrade SKU from CoreVUE to SecureVUE GigaSMART software bundle for GigaVUE-HC1. Includes bundled Elite Support.</t>
  </si>
  <si>
    <t>SMT-HC1-GEN2--UPGBN-SV-SW-TM</t>
  </si>
  <si>
    <t>SMT-HC1-GEN2--UPGBN-SVP-SW-TM-1</t>
  </si>
  <si>
    <t>Monthly subscription license for  Upgrade SKU from SecureVUE to SecureVUE Plus GigaSMART software bundle for GigaVUE-HC1. Includes bundled Elite Support.</t>
  </si>
  <si>
    <t>SMT-HC1-GEN2--UPGBN-SVP-SW-TM</t>
  </si>
  <si>
    <t>CTL-HC0-002-HW-2</t>
  </si>
  <si>
    <t>Control Card Version 2, GigaVUE-HC2.  Hardware only.  Must pair with appropriate GigaVUE-OS Software License.</t>
  </si>
  <si>
    <t>CTL-HC0-002-HW</t>
  </si>
  <si>
    <t>CTL-HC0-002-SW-PL</t>
  </si>
  <si>
    <t>GigaVUE-OS Perpetual Software License for CTL-HC0-002-HW. Desired Software Support Program must be added.</t>
  </si>
  <si>
    <t>CTL-HC0-002-SW-TM</t>
  </si>
  <si>
    <t>GigaVUE-OS Term Software License for CTL-HC0-002-HW. Includes Elite Software Support Program.</t>
  </si>
  <si>
    <t>GVS-HC2A1-HW-2-2a</t>
  </si>
  <si>
    <t>GigaVUE-HC2 base chassis, Control Card Version 2, 1 Fan Tray, CLI,  2 power supplies, AC power .  Hardware only.  Must pair with appropriate GigaVUE-OS Software License.</t>
  </si>
  <si>
    <t>GVS-HC2A1-HW</t>
  </si>
  <si>
    <t>GVS-HC2A1-SW-PL</t>
  </si>
  <si>
    <t>GigaVUE-OS Perpetual Software License for GVS-HC2A1-HW. Desired Software Support Program must be added.</t>
  </si>
  <si>
    <t>GVS-HC2A1-SW-TM-2-2a</t>
  </si>
  <si>
    <t>GigaVUE-OS Term Software License for GVS-HC2A1-HW. Includes Elite-Plus Software Support Program.</t>
  </si>
  <si>
    <t>GVS-HC2A1-SW-TM</t>
  </si>
  <si>
    <t>GVS-HC2A2-HW-2-2a</t>
  </si>
  <si>
    <t>GigaVUE-HC2 base chassis, Control Card Version 2, 1 Fan Tray, CLI,  2 power supplies, DC power .  Hardware only.  Must pair with appropriate GigaVUE-OS Software License.</t>
  </si>
  <si>
    <t>GVS-HC2A2-HW</t>
  </si>
  <si>
    <t>GVS-HC2A2-SW-PL</t>
  </si>
  <si>
    <t>GigaVUE-OS Perpetual Software License for GVS-HC2A2-HW. Desired Software Support Program must be added.</t>
  </si>
  <si>
    <t>GVS-HC2A2-SW-TM-2-2a</t>
  </si>
  <si>
    <t>GigaVUE-OS Term Software License for GVS-HC2A2-HW. Includes Elite-Plus Software Support Program.</t>
  </si>
  <si>
    <t>GVS-HC2A2-SW-TM</t>
  </si>
  <si>
    <t>BPS-HC0-D25A4G-HW-2-2a</t>
  </si>
  <si>
    <t>Bypass Combo Module, GigaVUE-HC2, 4 SX/SR 50/125 BPS pairs, 16 10G SFP+ cages.  Hardware only.  Must pair with appropriate GigaVUE-OS Software License.</t>
  </si>
  <si>
    <t>BPS-HC0-D25A4G-HW</t>
  </si>
  <si>
    <t>BPS-HC0-D25A4G-SW-PL</t>
  </si>
  <si>
    <t>GigaVUE-OS Perpetual Software License for BPS-HC0-D25A4G-HW. Desired Software Support Program must be added.</t>
  </si>
  <si>
    <t>BPS-HC0-D25A4G-SW-TM-2-2a</t>
  </si>
  <si>
    <t>GigaVUE-OS Term Software License for BPS-HC0-D25A4G-HW. Includes Elite-Plus Software Support Program.</t>
  </si>
  <si>
    <t>BPS-HC0-D25A4G-SW-TM</t>
  </si>
  <si>
    <t>BPS-HC0-D25B4G-HW-2-2a</t>
  </si>
  <si>
    <t>Bypass Combo Module, GigaVUE-HC2, 4 SX/SR 62.5/125 BPS pairs, 16 10G SFP+ cages.  Hardware only.  Must pair with appropriate GigaVUE-OS Software License.</t>
  </si>
  <si>
    <t>BPS-HC0-D25B4G-HW</t>
  </si>
  <si>
    <t>BPS-HC0-D25B4G-SW-PL</t>
  </si>
  <si>
    <t>GigaVUE-OS Perpetual Software License for BPS-HC0-D25B4G-HW. Desired Software Support Program must be added.</t>
  </si>
  <si>
    <t>BPS-HC0-D25B4G-SW-TM-2-2a</t>
  </si>
  <si>
    <t>GigaVUE-OS Term Software License for BPS-HC0-D25B4G-HW. Includes Elite-Plus Software Support Program.</t>
  </si>
  <si>
    <t>BPS-HC0-D25B4G-SW-TM</t>
  </si>
  <si>
    <t>BPS-HC0-D35C4G-HW-2-2a</t>
  </si>
  <si>
    <t>Bypass Combo Module, GigaVUE-HC2, 4 LX/LR BPS pairs, 16 10G SFP+ cages.  Hardware only.  Must pair with appropriate GigaVUE-OS Software License.</t>
  </si>
  <si>
    <t>BPS-HC0-D35C4G-HW</t>
  </si>
  <si>
    <t>BPS-HC0-D35C4G-SW-PL</t>
  </si>
  <si>
    <t>GigaVUE-OS Perpetual Software License for BPS-HC0-D35C4G-HW. Desired Software Support Program must be added.</t>
  </si>
  <si>
    <t>BPS-HC0-D35C4G-SW-TM-2-2a</t>
  </si>
  <si>
    <t>GigaVUE-OS Term Software License for BPS-HC0-D35C4G-HW. Includes Elite-Plus Software Support Program.</t>
  </si>
  <si>
    <t>BPS-HC0-D35C4G-SW-TM</t>
  </si>
  <si>
    <t>BPS-HC0-Q25A28-HW-2-2a</t>
  </si>
  <si>
    <t>Bypass Combo Module, GigaVUE-HC2, 2 40G SR4 BPS pairs, 8 10G SFP+ cages.  Hardware only.  Must pair with appropriate GigaVUE-OS Software License.</t>
  </si>
  <si>
    <t>BPS-HC0-Q25A28-HW</t>
  </si>
  <si>
    <t>BPS-HC0-Q25A28-SW-PL</t>
  </si>
  <si>
    <t>GigaVUE-OS Perpetual Software License for BPS-HC0-Q25A28-HW. Desired Software Support Program must be added.</t>
  </si>
  <si>
    <t>BPS-HC0-Q25A28-SW-TM-2-2a</t>
  </si>
  <si>
    <t>GigaVUE-OS Term Software License for BPS-HC0-Q25A28-HW. Includes Elite-Plus Software Support Program.</t>
  </si>
  <si>
    <t>BPS-HC0-Q25A28-SW-TM</t>
  </si>
  <si>
    <t>PRT-HC0-X24-HW-2-2a</t>
  </si>
  <si>
    <t>Port Module, GigaVUE-HC2, 24x10G SFP+ cages.  Hardware only.  Must pair with appropriate GigaVUE-OS Software License.</t>
  </si>
  <si>
    <t>PRT-HC0-X24-HW</t>
  </si>
  <si>
    <t>PRT-HC0-X24-SW-PL</t>
  </si>
  <si>
    <t>GigaVUE-OS Perpetual Software License for PRT-HC0-X24-HW. Desired Software Support Program must be added.</t>
  </si>
  <si>
    <t>PRT-HC0-X24-SW-TM-2-2a</t>
  </si>
  <si>
    <t>GigaVUE-OS Term Software License for PRT-HC0-X24-HW. Includes Elite-Plus Software Support Program.</t>
  </si>
  <si>
    <t>PRT-HC0-X24-SW-TM</t>
  </si>
  <si>
    <t>PRT-HC0-Q06-HW-2-2a</t>
  </si>
  <si>
    <t>Port Module, GigaVUE-HC2, 6x40G QSFP+ cages.  Hardware only.  Must pair with appropriate GigaVUE-OS Software License.</t>
  </si>
  <si>
    <t>PRT-HC0-Q06-HW</t>
  </si>
  <si>
    <t>PRT-HC0-Q06-SW-PL</t>
  </si>
  <si>
    <t>GigaVUE-OS Perpetual Software License for PRT-HC0-Q06-HW. Desired Software Support Program must be added.</t>
  </si>
  <si>
    <t>PRT-HC0-Q06-SW-TM-2-2a</t>
  </si>
  <si>
    <t>GigaVUE-OS Term Software License for PRT-HC0-Q06-HW. Includes Elite-Plus Software Support Program.</t>
  </si>
  <si>
    <t>PRT-HC0-Q06-SW-TM</t>
  </si>
  <si>
    <t>PRT-HC0-C02-HW-2-2a</t>
  </si>
  <si>
    <t>Port Module, GigaVUE-HC2, 2x100G QSFP28 cages. Requires Control Card Version 2.  Hardware only.  Must pair with appropriate GigaVUE-OS Software License.</t>
  </si>
  <si>
    <t>PRT-HC0-C02-HW</t>
  </si>
  <si>
    <t>PRT-HC0-C02-SW-PL</t>
  </si>
  <si>
    <t>GigaVUE-OS Perpetual Software License for PRT-HC0-C02-HW. Desired Software Support Program must be added.</t>
  </si>
  <si>
    <t>PRT-HC0-C02-SW-TM-2-2a</t>
  </si>
  <si>
    <t>GigaVUE-OS Term Software License for PRT-HC0-C02-HW. Includes Elite-Plus Software Support Program.</t>
  </si>
  <si>
    <t>PRT-HC0-C02-SW-TM</t>
  </si>
  <si>
    <t>SMT-HC0-Q02X08-HW-2-2a</t>
  </si>
  <si>
    <t>Gen2 GigaSMART, GigaVUE-HC2, Front Module, 2 40G cages, 8 10G cages (includes Slicing, Masking, Source Port &amp; GigaVUE Tunneling De-Encapsulation SW). Requires Control Card version 2.  Hardware only.  Must pair with appropriate GigaVUE-OS Software License</t>
  </si>
  <si>
    <t>SMT-HC0-Q02X08-HW</t>
  </si>
  <si>
    <t>SMT-HC0-Q02X08-SW-PL</t>
  </si>
  <si>
    <t>GigaVUE-OS Perpetual Software License for SMT-HC0-Q02X08-HW. Desired Software Support Program must be added.</t>
  </si>
  <si>
    <t>SMT-HC0-Q02X08-SW-TM-2-2a</t>
  </si>
  <si>
    <t>GigaVUE-OS Term Software License for SMT-HC0-Q02X08-HW. Includes Elite-Plus Software Support Program.</t>
  </si>
  <si>
    <t>SMT-HC0-Q02X08-SW-TM</t>
  </si>
  <si>
    <t>SMT-HC2-GEN2-SAM-SW-PL-1</t>
  </si>
  <si>
    <t>GigaSMART, GigaVUE-HC2, Subscriber-Aware Metadata license for the AMI engine component. Includes entitlement to unlimited use of Subscriber Metadata Aggregation Function (SMAF). Does not include SMAF hardware. Does not include GTP and/or 5G Correlation l</t>
  </si>
  <si>
    <t>SMT-HC2-GEN2-SAM-SW-PL</t>
  </si>
  <si>
    <t>SMT-HC2-GEN2-SAM-SW-TM-1</t>
  </si>
  <si>
    <t>SMT-HC2-GEN2-SAM-SW-TM</t>
  </si>
  <si>
    <t>SMT-HC2-GEN2-5GC-SW-PL</t>
  </si>
  <si>
    <t>Perpetual license for  GigaSMART, GigaVUE-HC2, 5G Correlation, CUPS support, and SUPI-based load-balancing. Requires a base GTP Correlation license (e.g. SMT-HC2-GTPMAX). Gen2 only..  Desired Software Support Program must be added.  This is a Gen 2 licen</t>
  </si>
  <si>
    <t>SMT-HC2-GEN2-5GC-SW-TM-2-2a</t>
  </si>
  <si>
    <t>Monthly subscription license for  GigaSMART, GigaVUE-HC2, 5G Correlation, including CUPS and SUPI-based load-balancing. Requires a base GTP Correlation license (e.g. SMT-HC2-GTPMAX). Gen2 only.   Includes embedded Elite-Plus Support.  Initial term must b</t>
  </si>
  <si>
    <t>SMT-HC2-GEN2-5GC-SW-TM</t>
  </si>
  <si>
    <t>SMT-HC2-GEN2-DD1-SW-PL</t>
  </si>
  <si>
    <t>Perpetual license for  GigaSMART, GigaVUE-HC2, De-Duplication feature license per GigaVUE-HC2 Gen2 GigaSMART module; requires SMT-HC0-Q02X08.  Desired Software Support Program must be added.  This is a Gen 2 license.</t>
  </si>
  <si>
    <t>SMT-HC2-GEN2-DD1-SW-TM-2-2a</t>
  </si>
  <si>
    <t>Monthly subscription license for  GigaSMART, GigaVUE-HC2, De-Duplication feature license per GigaVUE-HC2 Gen2 GigaSMART module; requires SMT-HC0-Q02X08.   Includes embedded Elite-Plus Support.  Initial term must be 12 months or longer.  This is a Gen 2 l</t>
  </si>
  <si>
    <t>SMT-HC2-GEN2-DD1-SW-TM</t>
  </si>
  <si>
    <t>SMT-HC2-GEN2-HS1-SW-PL</t>
  </si>
  <si>
    <t>Perpetual license for  GigaSMART, GigaVUE-HC2, Header Stripping feature license per GigaVUE-HC2 Gen2 GigaSMART module; requires SMT-HC0-Q02X08.  Desired Software Support Program must be added.  This is a Gen 2 license.</t>
  </si>
  <si>
    <t>SMT-HC2-GEN2-HS1-SW-TM-2-2a</t>
  </si>
  <si>
    <t>Monthly subscription license for  GigaSMART, GigaVUE-HC2, Header Stripping feature license per GigaVUE-HC2 Gen2 GigaSMART module; requires SMT-HC0-Q02X08.   Includes embedded Elite-Plus Support.  Initial term must be 12 months or longer.  This is a Gen 2</t>
  </si>
  <si>
    <t>SMT-HC2-GEN2-HS1-SW-TM</t>
  </si>
  <si>
    <t>SMT-HC2-GEN2-AT1-SW-PL</t>
  </si>
  <si>
    <t>Perpetual license for  GigaSMART, GigaVUE-HC2, Advanced Tunneling feature license per GigaVUE-HC2 Gen2 GigaSMART module; requires SMT-HC0-Q02X08.  Desired Software Support Program must be added.  This is a Gen 2 license.</t>
  </si>
  <si>
    <t>SMT-HC2-GEN2-AT1-SW-TM-2-2a</t>
  </si>
  <si>
    <t>Monthly subscription license for  GigaSMART, GigaVUE-HC2, Advanced Tunneling feature license per GigaVUE-HC2 Gen2 GigaSMART module; requires SMT-HC0-Q02X08.   Includes embedded Elite-Plus Support.  Initial term must be 12 months or longer.  This is a Gen</t>
  </si>
  <si>
    <t>SMT-HC2-GEN2-AT1-SW-TM</t>
  </si>
  <si>
    <t>SMT-HC2-GEN2-FVU-SW-PL</t>
  </si>
  <si>
    <t>Perpetual license for  GigaSMART, GigaVUE-HC2, FlowVUE feature license per GigaVUE-HC2 Gen2 GigaSMART module; requires SMT-HC0-Q02X08.  Desired Software Support Program must be added.  This is a Gen 2 license.</t>
  </si>
  <si>
    <t>SMT-HC2-GEN2-FVU-SW-TM-2-2a</t>
  </si>
  <si>
    <t>Monthly subscription license for  GigaSMART, GigaVUE-HC2, FlowVUE feature license per GigaVUE-HC2 Gen2 GigaSMART module; requires SMT-HC0-Q02X08.   Includes embedded Elite-Plus Support.  Initial term must be 12 months or longer.  This is a Gen 2 license.</t>
  </si>
  <si>
    <t>SMT-HC2-GEN2-FVU-SW-TM</t>
  </si>
  <si>
    <t>SMT-HC2-GEN2-APF-SW-PL</t>
  </si>
  <si>
    <t>Perpetual license for  GigaSMART, GigaVUE-HC2, Adaptive Packet Filtering feature license per GigaVUE-HC2 Gen2 GigaSMART module; requires SMT-HC0-Q02X08.  Desired Software Support Program must be added.  This is a Gen 2 license.</t>
  </si>
  <si>
    <t>SMT-HC2-GEN2-APF-SW-TM-2-2a</t>
  </si>
  <si>
    <t>Monthly subscription license for  GigaSMART, GigaVUE-HC2, Adaptive Packet Filtering feature license per GigaVUE-HC2 Gen2 GigaSMART module; requires SMT-HC0-Q02X08.   Includes embedded Elite-Plus Support.  Initial term must be 12 months or longer.  This i</t>
  </si>
  <si>
    <t>SMT-HC2-GEN2-APF-SW-TM</t>
  </si>
  <si>
    <t>SMT-HC2-GEN2-NF1-SW-PL</t>
  </si>
  <si>
    <t>Perpetual license for  GigaSMART, GigaVUE-HC2, NetFlow Generation feature license per GigaVUE-HC2 Gen2 GigaSMART module; requires SMT-HC0-Q02X08.  Desired Software Support Program must be added.  This is a Gen 2 license.</t>
  </si>
  <si>
    <t>SMT-HC2-GEN2-NF1-SW-TM-2-2a</t>
  </si>
  <si>
    <t>Monthly subscription license for  GigaSMART, GigaVUE-HC2, NetFlow Generation feature license per GigaVUE-HC2 Gen2 GigaSMART module; requires SMT-HC0-Q02X08.   Includes embedded Elite-Plus Support.  Initial term must be 12 months or longer.  This is a Gen</t>
  </si>
  <si>
    <t>SMT-HC2-GEN2-NF1-SW-TM</t>
  </si>
  <si>
    <t>SMT-HC2-GEN2-DCRP-SW-PL</t>
  </si>
  <si>
    <t>Perpetual license for  GigaSMART, GigaVUE-HC2, SSL/TLS Decryption for Inline and Out of Band Tools Feature License per GigaVUE-HC2 Gen2 GigaSMART module; requires SMT-HC0-Q02X08.  Desired Software Support Program must be added.  This is a Gen 2 license.</t>
  </si>
  <si>
    <t>SMT-HC2-GEN2-DCRP-SW-TM-2-2a</t>
  </si>
  <si>
    <t>Monthly subscription license for  GigaSMART, GigaVUE-HC2, SSL/TLS Decryption for Inline and Out of Band Tools Feature License per GigaVUE-HC2 Gen2 GigaSMART module; requires SMT-HC0-Q02X08.   Includes embedded Elite-Plus Support.  Initial term must be 12</t>
  </si>
  <si>
    <t>SMT-HC2-GEN2-DCRP-SW-TM</t>
  </si>
  <si>
    <t>SMT-HC2-GEN2-GTPMAX-SW-PL</t>
  </si>
  <si>
    <t>Perpetual license for  GigaSMART, GigaVUE-HC2, GTP Filtering &amp; Correlation feature license per GigaVUE-HC2 Gen2 GigaSMART module, unlimited subscribers; requires SMT-HC0-Q02X08.  Desired Software Support Program must be added.  This is a Gen 2 license.</t>
  </si>
  <si>
    <t>SMT-HC2-GEN2-GTPMAX-SW-TM-2-2a</t>
  </si>
  <si>
    <t>Monthly subscription license for  GigaSMART, GigaVUE-HC2, GTP Filtering &amp; Correlation feature license per GigaVUE-HC2 Gen2 GigaSMART module, Maximum subscribers; requires SMT-HC0-Q02X08.   Includes embedded Elite-Plus Support.  Initial term must be 12 mo</t>
  </si>
  <si>
    <t>SMT-HC2-GEN2-GTPMAX-SW-TM</t>
  </si>
  <si>
    <t>SMT-HC2-GEN2-SIP10-SW-PL</t>
  </si>
  <si>
    <t>Perpetual license for  GigaSMART, GigaVUE-HC2, SIP &amp; RTP Correlation feature license per GigaVUE-HC2 Gen2 GigaSMART module, 10K sessions; requires SMT-HC0-Q02X08.  Desired Software Support Program must be added.  This is a Gen 2 license.</t>
  </si>
  <si>
    <t>SMT-HC2-GEN2-SIP10-SW-TM-2-2a</t>
  </si>
  <si>
    <t>Monthly subscription license for  GigaSMART, GigaVUE-HC2, SIP &amp; RTP Correlation feature license per GigaVUE-HC2 Gen2 GigaSMART module,Â 10K sessions;Â requires SMT-HC0-Q02X08.   Includes embedded Elite-Plus Support.  Initial term must be 12 months or lon</t>
  </si>
  <si>
    <t>SMT-HC2-GEN2-SIP10-SW-TM</t>
  </si>
  <si>
    <t>SMT-HC2-GEN2-SIPMAX-SW-PL</t>
  </si>
  <si>
    <t>Perpetual license for  GigaSMART, GigaVUE-HC2, SIP &amp; RTP Correlation feature license per GigaVUE-HC2 Gen2 GigaSMART module, unlimited sessions; requires SMT-HC0-Q02X08.  Desired Software Support Program must be added.  This is a Gen 2 license.</t>
  </si>
  <si>
    <t>SMT-HC2-GEN2-SIPMAX-SW-TM-2-2a</t>
  </si>
  <si>
    <t>Monthly subscription license for  GigaSMART, GigaVUE-HC2, SIP &amp; RTP Correlation feature license per GigaVUE-HC2 Gen2 GigaSMART module, maximum sessions; requires SMT-HC0-Q02X08.   Includes embedded Elite-Plus Support.  Initial term must be 12 months or l</t>
  </si>
  <si>
    <t>SMT-HC2-GEN2-SIPMAX-SW-TM</t>
  </si>
  <si>
    <t>SMT-HC2-GEN2-AFI-SW-TM-2-2a</t>
  </si>
  <si>
    <t>Monthly subscription license for  Application Filtering Intelligence (1 Month ) – GigaVUE-HC2 Gen2 GigaSMART module; requires SMT-HC0-Q02X08 (12-month Minimum)  *Includes bundled Elite-Plus Support.</t>
  </si>
  <si>
    <t>SMT-HC2-GEN2-AFI-SW-TM</t>
  </si>
  <si>
    <t>SMT-HC2-GEN2-AMI-SW-TM-2-2a</t>
  </si>
  <si>
    <t>Monthly subscription license for  Application Metadata Intelligence (1 Month) – GigaVUE-HC2 Gen2 GigaSMART module; requires SMT-HC0-Q02X08 (12-Month Minimum) *Includes bundled Elite-Plus Support.</t>
  </si>
  <si>
    <t>SMT-HC2-GEN2-AMI-SW-TM</t>
  </si>
  <si>
    <t>SMT-HC2-GEN2-AFS-SW-TM-2-2a</t>
  </si>
  <si>
    <t>Monthly subscription license for Advanced Flow Slicing (1 Month ) – GigaVUE-HC2 (12-month Minimum); requires SMT-HC0-Q02X08 *Includes bundled Elite-Plus Support.</t>
  </si>
  <si>
    <t>SMT-HC2-GEN2-AFS-SW-TM</t>
  </si>
  <si>
    <t>SMT-HC0-R-HW-2-2a</t>
  </si>
  <si>
    <t>Gen1 GigaSMART, GigaVUE-HC2, Rear Module (includes Slicing, Masking, Source Port &amp; GigaVUE Tunneling De-Encapsulation SW).  Hardware only.  Must pair with appropriate GigaVUE-OS Software License.</t>
  </si>
  <si>
    <t>SMT-HC0-R-HW</t>
  </si>
  <si>
    <t>SMT-HC0-R-SW-PL</t>
  </si>
  <si>
    <t>GigaVUE-OS Perpetual Software License for SMT-HC0-R-HW. Desired Software Support Program must be added.</t>
  </si>
  <si>
    <t>SMT-HC0-R-SW-TM-2-2a</t>
  </si>
  <si>
    <t>GigaVUE-OS Term Software License for SMT-HC0-R-HW. Includes Elite-Plus Software Support Program.</t>
  </si>
  <si>
    <t>SMT-HC0-R-SW-TM</t>
  </si>
  <si>
    <t>SMT-HC0-X16-HW-2-2a</t>
  </si>
  <si>
    <t>Gen1 GigaSMART, GigaVUE-HC2, Front Module, 16 10G cages (includes Slicing, Masking, Source Port &amp; GigaVUE Tunneling De-Encapsulation SW).  Hardware only.  Must pair with appropriate GigaVUE-OS Software License.</t>
  </si>
  <si>
    <t>SMT-HC0-X16-HW</t>
  </si>
  <si>
    <t>SMT-HC0-X16-SW-PL</t>
  </si>
  <si>
    <t>GigaVUE-OS Perpetual Software License for SMT-HC0-X16-HW. Desired Software Support Program must be added.</t>
  </si>
  <si>
    <t>SMT-HC0-X16-SW-TM-2-2a</t>
  </si>
  <si>
    <t>GigaVUE-OS Term Software License for SMT-HC0-X16-HW. Includes Elite-Plus Software Support Program.</t>
  </si>
  <si>
    <t>SMT-HC0-X16-SW-TM</t>
  </si>
  <si>
    <t>SMT-HC0-GEN1-DD1-SW-PL</t>
  </si>
  <si>
    <t>Perpetual license for  GigaSMART, GigaVUE-HC2, De-Duplication feature license per GigaSMART module.  Desired Software Support Program must be added.  This is a Gen 1 license.</t>
  </si>
  <si>
    <t>SMT-HC0-GEN1-DD1-SW-TM-2-2a</t>
  </si>
  <si>
    <t>Monthly subscription license for  GigaSMART, GigaVUE-HC2, De-Duplication feature license per GigaSMART module.   Includes embedded Elite-Plus Support.  Initial term must be 12 months or longer.  This is a Gen 1 license.</t>
  </si>
  <si>
    <t>SMT-HC0-GEN1-DD1-SW-TM</t>
  </si>
  <si>
    <t>SMT-HC0-GEN1-HS1-SW-PL</t>
  </si>
  <si>
    <t>Perpetual license for  GigaSMART, GigaVUE-HC2, Header Stripping feature license per GigaSMART module.  Desired Software Support Program must be added.  This is a Gen 1 license.</t>
  </si>
  <si>
    <t>SMT-HC0-GEN1-HS1-SW-TM-2-2a</t>
  </si>
  <si>
    <t>Monthly subscription license for  GigaSMART, GigaVUE-HC2, Header Stripping feature license per GigaSMART module.   Includes embedded Elite-Plus Support.  Initial term must be 12 months or longer.  This is a Gen 1 license.</t>
  </si>
  <si>
    <t>SMT-HC0-GEN1-HS1-SW-TM</t>
  </si>
  <si>
    <t>SMT-HC0-GEN1-AT1-SW-PL</t>
  </si>
  <si>
    <t>Perpetual license for  GigaSMART, GigaVUE-HC2, Advanced Tunneling feature license per GigaSMART module.  Desired Software Support Program must be added.  This is a Gen 1 license.</t>
  </si>
  <si>
    <t>SMT-HC0-GEN1-AT1-SW-TM-2-2a</t>
  </si>
  <si>
    <t>Monthly subscription license for  GigaSMART, GigaVUE-HC2, Advanced Tunneling feature license per GigaSMART module.   Includes embedded Elite-Plus Support.  Initial term must be 12 months or longer.  This is a Gen 1 license.</t>
  </si>
  <si>
    <t>SMT-HC0-GEN1-AT1-SW-TM</t>
  </si>
  <si>
    <t>SMT-HC0-GEN1-FVU-SW-PL</t>
  </si>
  <si>
    <t>Perpetual license for  GigaSMART, GigaVUE-HC2, FlowVUE feature license per GigaSMART module.  Desired Software Support Program must be added.  This is a Gen 1 license.</t>
  </si>
  <si>
    <t>SMT-HC0-GEN1-FVU-SW-TM-2-2a</t>
  </si>
  <si>
    <t>Monthly subscription license for  GigaSMART, GigaVUE-HC2, FlowVUE feature license per GigaSMART module.   Includes embedded Elite-Plus Support.  Initial term must be 12 months or longer.  This is a Gen 1 license.</t>
  </si>
  <si>
    <t>SMT-HC0-GEN1-FVU-SW-TM</t>
  </si>
  <si>
    <t>SMT-HC0-GEN1-APF-SW-PL</t>
  </si>
  <si>
    <t>Perpetual license for  GigaSMART, GigaVUE-HC2, Adaptive Packet Filtering feature license per GigaSMART module.  Desired Software Support Program must be added.  This is a Gen 1 license.</t>
  </si>
  <si>
    <t>SMT-HC0-GEN1-APF-SW-TM-2-2a</t>
  </si>
  <si>
    <t>Monthly subscription license for  GigaSMART, GigaVUE-HC2, Adaptive Packet Filtering feature license per GigaSMART module.   Includes embedded Elite-Plus Support.  Initial term must be 12 months or longer.  This is a Gen 1 license.</t>
  </si>
  <si>
    <t>SMT-HC0-GEN1-APF-SW-TM</t>
  </si>
  <si>
    <t>SMT-HC0-GEN1-ASF-SW-PL</t>
  </si>
  <si>
    <t>Perpetual license for  GigaSMART, GigaVUE-HC2, Application Session Filtering feature license per GigaSMART module; requires SMT-HC0-APF.  Desired Software Support Program must be added.  This is a Gen 1 license.</t>
  </si>
  <si>
    <t>SMT-HC0-GEN1-ASF-SW-TM</t>
  </si>
  <si>
    <t>Monthly subscription license for  GigaSMART, GigaVUE-HC2, Application Session Filtering feature license per GigaSMART module; requires SMT-HC0-APF.   Includes embedded Elite Support.  Initial term must be 12 months or longer.  This is a Gen 1 license.</t>
  </si>
  <si>
    <t>SMT-HC0-GEN1-NF1-SW-PL</t>
  </si>
  <si>
    <t>Perpetual license for  GigaSMART, GigaVUE-HC2, NetFlow Generation feature license per GigaSMART module.  Desired Software Support Program must be added.  This is a Gen 1 license.</t>
  </si>
  <si>
    <t>SMT-HC0-GEN1-NF1-SW-TM-2-2a</t>
  </si>
  <si>
    <t>Monthly subscription license for  GigaSMART, GigaVUE-HC2, NetFlow Generation feature license per GigaSMART module.   Includes embedded Elite-Plus Support.  Initial term must be 12 months or longer.  This is a Gen 1 license.</t>
  </si>
  <si>
    <t>SMT-HC0-GEN1-NF1-SW-TM</t>
  </si>
  <si>
    <t>SMT-HC0-GEN1-SSL-SW-PL</t>
  </si>
  <si>
    <t>Perpetual license for  GigaSMART, GigaVUE-HC2, SSL Decryption for Out of Band Tools Feature License per GigaSMART module.  Desired Software Support Program must be added.  This is a Gen 1 license.</t>
  </si>
  <si>
    <t>SMT-HC0-GEN1-SSL-SW-TM-2-2a</t>
  </si>
  <si>
    <t>Monthly subscription license for  GigaSMART, GigaVUE-HC2, SSL Decryption for Out of Band Tools Feature License per GigaSMART module.   Includes embedded Elite-Plus Support.  Initial term must be 12 months or longer.  This is a Gen 1 license.</t>
  </si>
  <si>
    <t>SMT-HC0-GEN1-SSL-SW-TM</t>
  </si>
  <si>
    <t>SMT-HC0-GEN1-INSSL-SW-PL</t>
  </si>
  <si>
    <t>Perpetual license for  GigaSMART, GigaVUE-HC2, SSL Decryption for Inline and Out of Band Tools Feature License per GigaSMART module.  Desired Software Support Program must be added.  This is a Gen 1 license.</t>
  </si>
  <si>
    <t>SMT-HC0-GEN1-INSSL-SW-TM-2-2a</t>
  </si>
  <si>
    <t>Monthly subscription license for  GigaSMART, GigaVUE-HC2, SSL Decryption for Inline and Out of Band Tools Feature License per GigaSMART module.   Includes embedded Elite-Plus Support.  Initial term must be 12 months or longer.  This is a Gen 1 license.</t>
  </si>
  <si>
    <t>SMT-HC0-GEN1-INSSL-SW-TM</t>
  </si>
  <si>
    <t>SMT-HC0-GEN1-UPGINSSL-SW-PL</t>
  </si>
  <si>
    <t>Perpetual license for  GigaSMART, GigaVUE-HC2, SSL Decryption Upgrade for Inline Tools Feature License per GigaSMART module.  Desired Software Support Program must be added.  This is a Gen 1 license.</t>
  </si>
  <si>
    <t>SMT-HC0-GEN1-UPGINSSL-SW-TM-2-2a</t>
  </si>
  <si>
    <t>Monthly subscription license for  GigaSMART, GigaVUE-HC2, SSL Decryption Upgrade for Inline Tools Feature License per GigaSMART module.   Includes embedded Elite-Plus Support.  Initial term must be 12 months or longer.  This is a Gen 1 license.</t>
  </si>
  <si>
    <t>SMT-HC0-GEN1-UPGINSSL-SW-TM</t>
  </si>
  <si>
    <t>SMT-HC0-GEN1-GTP250-SW-PL</t>
  </si>
  <si>
    <t>Perpetual license for  GigaSMART, GigaVUE-HC2, GTP Filtering &amp; Correlation feature license per GigaSMART module, 250K subscribers.  Desired Software Support Program must be added.  This is a Gen 1 license.</t>
  </si>
  <si>
    <t>SMT-HC0-GEN1-GTP250-SW-TM-2-2a</t>
  </si>
  <si>
    <t>Monthly subscription license for  GigaSMART, GigaVUE-HC2, GTP Filtering &amp; Correlation feature license per GigaSMART module, 250K subscribers.   Includes embedded Elite-Plus Support.  Initial term must be 12 months or longer.  This is a Gen 1 license.</t>
  </si>
  <si>
    <t>SMT-HC0-GEN1-GTP250-SW-TM</t>
  </si>
  <si>
    <t>SMT-HC0-GEN1-GTP500-SW-PL</t>
  </si>
  <si>
    <t>Perpetual license for  GigaSMART, GigaVUE-HC2, GTP Filtering &amp; Correlation feature license per GigaSMART module, 500K subscribers.  Desired Software Support Program must be added.  This is a Gen 1 license.</t>
  </si>
  <si>
    <t>SMT-HC0-GEN1-GTP500-SW-TM-2-2a</t>
  </si>
  <si>
    <t>Monthly subscription license for  GigaSMART, GigaVUE-HC2, GTP Filtering &amp; Correlation feature license per GigaSMART module, 500K subscribers.   Includes embedded Elite-Plus Support.  Initial term must be 12 months or longer.  This is a Gen 1 license.</t>
  </si>
  <si>
    <t>SMT-HC0-GEN1-GTP500-SW-TM</t>
  </si>
  <si>
    <t>SMT-HC0-GEN1-GTPMAX-SW-PL</t>
  </si>
  <si>
    <t>Perpetual license for  GigaSMART, GigaVUE-HC2, GTP Filtering &amp; Correlation feature license per GigaSMART module, Maximum subscribers.  Desired Software Support Program must be added.  This is a Gen 1 license.</t>
  </si>
  <si>
    <t>SMT-HC0-GEN1-GTPMAX-SW-TM-2-2a</t>
  </si>
  <si>
    <t>Monthly subscription license for  GigaSMART, GigaVUE-HC2, GTP Filtering &amp; Correlation feature license per GigaSMART module, Maximum subscribers.   Includes embedded Elite-Plus Support.  Initial term must be 12 months or longer.  This is a Gen 1 license.</t>
  </si>
  <si>
    <t>SMT-HC0-GEN1-GTPMAX-SW-TM</t>
  </si>
  <si>
    <t>SMT-HC0-GEN1-SIP10-SW-PL</t>
  </si>
  <si>
    <t>Perpetual license for  GigaSMART, GigaVUE-HC2, SIP &amp; RTP Correlation feature license per GigaSMART module, 10K sessions.  Desired Software Support Program must be added.  This is a Gen 1 license.</t>
  </si>
  <si>
    <t>SMT-HC0-GEN1-SIP10-SW-TM-2-2a</t>
  </si>
  <si>
    <t>Monthly subscription license for  GigaSMART, GigaVUE-HC2, SIP &amp; RTP Correlation feature license per GigaSMART module, 10K sessions.   Includes embedded Elite-Plus Support.  Initial term must be 12 months or longer.  This is a Gen 1 license.</t>
  </si>
  <si>
    <t>SMT-HC0-GEN1-SIP10-SW-TM</t>
  </si>
  <si>
    <t>SMT-HC0-GEN1-SIPMAX-SW-PL</t>
  </si>
  <si>
    <t>Perpetual license for  GigaSMART, GigaVUE-HC2, SIP &amp; RTP Correlation feature license per GigaSMART module, unlimited sessions.  Desired Software Support Program must be added.  This is a Gen 1 license.</t>
  </si>
  <si>
    <t>SMT-HC0-GEN1-SIPMAX-SW-TM-2-2a</t>
  </si>
  <si>
    <t>Monthly subscription license for  GigaSMART, GigaVUE-HC2, SIP &amp; RTP Correlation feature license per GigaSMART module, unlimited sessions.   Includes embedded Elite-Plus Support.  Initial term must be 12 months or longer.  This is a Gen 1 license.</t>
  </si>
  <si>
    <t>SMT-HC0-GEN1-SIPMAX-SW-TM</t>
  </si>
  <si>
    <t>TAP-HC0-D25AC0-HW-2-2a</t>
  </si>
  <si>
    <t>TAP module, GigaVUE-HC2, SX/SR Internal TAP Module 50/125, 12 TAPs.  Hardware only.  Must pair with appropriate GigaVUE-OS Software License.</t>
  </si>
  <si>
    <t>TAP-HC0-D25AC0-HW</t>
  </si>
  <si>
    <t>TAP-HC0-D25AC0-SW-PL</t>
  </si>
  <si>
    <t>GigaVUE-OS Perpetual Software License for TAP-HC0-D25AC0-HW. Desired Software Support Program must be added.</t>
  </si>
  <si>
    <t>TAP-HC0-D25AC0-SW-TM-2-2a</t>
  </si>
  <si>
    <t>GigaVUE-OS Term Software License for TAP-HC0-D25AC0-HW. Includes Elite-Plus Software Support Program.</t>
  </si>
  <si>
    <t>TAP-HC0-D25AC0-SW-TM</t>
  </si>
  <si>
    <t>TAP-HC0-D25BC0-HW-2-2a</t>
  </si>
  <si>
    <t>TAP module, GigaVUE-HC2, SX/SR Internal TAP Module 62.5/125, 12 TAPs.  Hardware only.  Must pair with appropriate GigaVUE-OS Software License.</t>
  </si>
  <si>
    <t>TAP-HC0-D25BC0-HW</t>
  </si>
  <si>
    <t>TAP-HC0-D25BC0-SW-PL</t>
  </si>
  <si>
    <t>GigaVUE-OS Perpetual Software License for TAP-HC0-D25BC0-HW. Desired Software Support Program must be added.</t>
  </si>
  <si>
    <t>TAP-HC0-D25BC0-SW-TM-2-2a</t>
  </si>
  <si>
    <t>GigaVUE-OS Term Software License for TAP-HC0-D25BC0-HW. Includes Elite-Plus Software Support Program.</t>
  </si>
  <si>
    <t>TAP-HC0-D25BC0-SW-TM</t>
  </si>
  <si>
    <t>TAP-HC0-D35CC0-HW-2-2a</t>
  </si>
  <si>
    <t>TAP module, GigaVUE-HC2, LX/LR Internal TAP Module, 12 TAPs.  Hardware only.  Must pair with appropriate GigaVUE-OS Software License.</t>
  </si>
  <si>
    <t>TAP-HC0-D35CC0-HW</t>
  </si>
  <si>
    <t>TAP-HC0-D35CC0-SW-PL</t>
  </si>
  <si>
    <t>GigaVUE-OS Perpetual Software License for TAP-HC0-D35CC0-HW. Desired Software Support Program must be added.</t>
  </si>
  <si>
    <t>TAP-HC0-D35CC0-SW-TM-2-2a</t>
  </si>
  <si>
    <t>GigaVUE-OS Term Software License for TAP-HC0-D35CC0-HW. Includes Elite-Plus Software Support Program.</t>
  </si>
  <si>
    <t>TAP-HC0-D35CC0-SW-TM</t>
  </si>
  <si>
    <t>TAP-HC0-G100C0-HW-2-2a</t>
  </si>
  <si>
    <t>TAP and Bypass module, GigaVUE-HC2, 10/100/1000M Copper, 12 TAPs or Bypass pairs.  Hardware only.  Must pair with appropriate GigaVUE-OS Software License.</t>
  </si>
  <si>
    <t>TAP-HC0-G100C0-HW</t>
  </si>
  <si>
    <t>TAP-HC0-G100C0-SW-PL</t>
  </si>
  <si>
    <t>GigaVUE-OS Perpetual Software License for TAP-HC0-G100C0-HW. Desired Software Support Program must be added.</t>
  </si>
  <si>
    <t>TAP-HC0-G100C0-SW-TM-2-2a</t>
  </si>
  <si>
    <t>GigaVUE-OS Term Software License for TAP-HC0-G100C0-HW. Includes Elite-Plus Software Support Program.</t>
  </si>
  <si>
    <t>TAP-HC0-G100C0-SW-TM</t>
  </si>
  <si>
    <t>SMT-HC0-GEN1-AFI-SW-TM-2-2a</t>
  </si>
  <si>
    <t>Monthly subscription license for  Application Filtering Intelligence (1 Month ) – GigaVUE-HC2 (12-month Minimum). *Includes bundled Elite-Plus Support.</t>
  </si>
  <si>
    <t>SMT-HC0-GEN1-AFI-SW-TM</t>
  </si>
  <si>
    <t>SMT-HC0-GEN1-AMI-SW-TM-2-2a</t>
  </si>
  <si>
    <t>Monthly subscription license for  Application Metadata Intelligence (1 Month) – GigaVUE-HC2 (12-Month Minimum).*Includes bundled Elite-Plus Support.</t>
  </si>
  <si>
    <t>SMT-HC0-GEN1-AMI-SW-TM</t>
  </si>
  <si>
    <t>SMT-HC0-GEN1-AFS-SW-TM-2-2a</t>
  </si>
  <si>
    <t>Monthly subscription license for Advanced Flow Slicing (1 Month ) – GigaVUE-HC2 (12-month Minimum). *Includes bundled Elite-Plus Support.</t>
  </si>
  <si>
    <t>SMT-HC0-GEN1-AFS-SW-TM</t>
  </si>
  <si>
    <t>SMT-HC2-GEN2-VDR-SW-TM-2-2a</t>
  </si>
  <si>
    <t>Monthly subscription license for  GigaSMART, GigaVUE-HC2, Video Data Record generation for Nokia AVA platform. Gen2 only. Requires SMT-HC0-Q02X08. 12-month minimum. Includes bundled Elite-Plus Support.</t>
  </si>
  <si>
    <t>SMT-HC2-GEN2-VDR-SW-TM</t>
  </si>
  <si>
    <t>SMT-HC2-GEN2--BN-CORE-SW-TM-1</t>
  </si>
  <si>
    <t>Monthly subscription license for  CoreVUE Gen2 GigaSMART software bundle for GigaVUE-HC2. Requires SMT-HC0-Q02X08. Capabilities included: Advanced Tunneling, Header Stripping, Slicing, Masking, Advanced Load Balancing, Source Port Labeling. Includes bund</t>
  </si>
  <si>
    <t>SMT-HC2-GEN2--BN-CORE-SW-TM</t>
  </si>
  <si>
    <t>SMT-HC2-GEN2--BN-NV-SW-TM-1</t>
  </si>
  <si>
    <t>Monthly subscription license for  NetVUE Gen2 GigaSMART software bundle for GigaVUE-HC2. Requires SMT-HC0-Q02X08. Capabilities included: All CoreVUE GigaSMART capabilities, De-duplication, NetFlow Generation. Includes bundled Elite Support.</t>
  </si>
  <si>
    <t>SMT-HC2-GEN2--BN-NV-SW-TM</t>
  </si>
  <si>
    <t>SMT-HC2-GEN2--BN-NVP-SW-TM-1</t>
  </si>
  <si>
    <t>Monthly subscription license for  NetVUE Plus Gen2 GigaSMART software bundle for GigaVUE-HC2. Requires SMT-HC0-Q02X08. Capabilities included: All NetVUE GigaSMART capabilities, Application Filtering Intelligence, Adaptive Packet Filtering, Advanced Flow</t>
  </si>
  <si>
    <t>SMT-HC2-GEN2--BN-NVP-SW-TM</t>
  </si>
  <si>
    <t>SMT-HC2-GEN2--BN-SV-SW-TM-1</t>
  </si>
  <si>
    <t>Monthly subscription license for  SecureVUE Gen2 GigaSMART software bundle for GigaVUE-HC2. Requires SMT-HC0-Q02X08. Capabilities included: All CoreVUE GigaSMART capabilities, De-duplication, NetFlow Generation, Adaptive Packet Filtering. Includes bundle</t>
  </si>
  <si>
    <t>SMT-HC2-GEN2--BN-SV-SW-TM</t>
  </si>
  <si>
    <t>SMT-HC2-GEN2--BN-SVP-SW-TM-1</t>
  </si>
  <si>
    <t>Monthly subscription license for  SecureVUE Plus Gen2 GigaSMART software bundle for GigaVUE-HC2. Requires SMT-HC0-Q02X08. Capabilities included: All SecureVUE GigaSMART capabilities, SSL Decryption (Inline + Out-of-band), Application Filtering Intelligen</t>
  </si>
  <si>
    <t>SMT-HC2-GEN2--BN-SVP-SW-TM</t>
  </si>
  <si>
    <t>SMT-HC2-GEN2--BN-MV-SW-TM-1</t>
  </si>
  <si>
    <t>Monthly subscription license for  MobileVUE Gen2 GigaSMART software bundle for GigaVUE-HC2. Requires SMT-HC0-Q02X08. Capabilities included: All CoreVUE GigaSMART capabilities, GTP Correlation, FlowVUE, 5G Correlation, CUPS and SUPI-based load balancing.</t>
  </si>
  <si>
    <t>SMT-HC2-GEN2--BN-MV-SW-TM</t>
  </si>
  <si>
    <t>SMT-HC2-GEN2--UPGBN-NV-SW-TM-1</t>
  </si>
  <si>
    <t>Monthly subscription license for  Upgrade SKU from CoreVUE to NetVUE GigaSMART software bundle for GigaVUE-HC2. Requires SMT-HC0-Q02X08. Includes bundled Elite Support.</t>
  </si>
  <si>
    <t>SMT-HC2-GEN2--UPGBN-NV-SW-TM</t>
  </si>
  <si>
    <t>SMT-HC2-GEN2--UPGBN-NVP-SW-TM-1</t>
  </si>
  <si>
    <t>Monthly subscription license for  Upgrade SKU from NetVUE to NetVUE Plus GigaSMART software bundle for GigaVUE-HC2. Requires SMT-HC0-Q02X08. Includes bundled Elite Support.</t>
  </si>
  <si>
    <t>SMT-HC2-GEN2--UPGBN-NVP-SW-TM</t>
  </si>
  <si>
    <t>SMT-HC2-GEN2--UPGBN-SV-SW-TM-1</t>
  </si>
  <si>
    <t>Monthly subscription license for  Upgrade SKU from CoreVUE to SecureVUE GigaSMART software bundle for GigaVUE-HC2. Requires SMT-HC0-Q02X08. Includes bundled Elite Support.</t>
  </si>
  <si>
    <t>SMT-HC2-GEN2--UPGBN-SV-SW-TM</t>
  </si>
  <si>
    <t>SMT-HC2-GEN2--UPGBN-SVP-SW-TM-1</t>
  </si>
  <si>
    <t>Monthly subscription license for  Upgrade SKU from SecureVUE to SecureVUE Plus GigaSMART software bundle for GigaVUE-HC2. Requires SMT-HC0-Q02X08. Includes bundled Elite Support.</t>
  </si>
  <si>
    <t>SMT-HC2-GEN2--UPGBN-SVP-SW-TM</t>
  </si>
  <si>
    <t>SMT-HC2-GEN2--UPGBN-MV-SW-TM-1</t>
  </si>
  <si>
    <t>Monthly subscription license for  Upgrade SKU from CoreVUE to MobileVUE GigaSMART software bundle for GigaVUE-HC2. Requires SMT-HC0-Q02X08. Includes bundled Elite Support.</t>
  </si>
  <si>
    <t>SMT-HC2-GEN2--UPGBN-MV-SW-TM</t>
  </si>
  <si>
    <t>CTL-HC3-002-HW-2</t>
  </si>
  <si>
    <t>Control Card Version 2, GigaVUE-HC3.  Hardware only.  Must pair with appropriate GigaVUE-OS Software License.</t>
  </si>
  <si>
    <t>CTL-HC3-002-HW</t>
  </si>
  <si>
    <t>CTL-HC3-002-SW-PL</t>
  </si>
  <si>
    <t>GigaVUE-OS Perpetual Software License for CTL-HC3-002-HW. Desired Software Support Program must be added.</t>
  </si>
  <si>
    <t>CTL-HC3-002-SW-TM</t>
  </si>
  <si>
    <t>GigaVUE-OS Term Software License for CTL-HC3-002-HW. Includes Elite Software Support Program.</t>
  </si>
  <si>
    <t>GVS-HC3A1-HW-2-2a</t>
  </si>
  <si>
    <t>GigaVUE-HC3 base unit w/ chassis, Control Card v2, 5 Fan Modules, CLI,  2 power supplies, AC power .  Hardware only.  Must pair with appropriate GigaVUE-OS Software License.</t>
  </si>
  <si>
    <t>GVS-HC3A1-HW</t>
  </si>
  <si>
    <t>GVS-HC3A1-SW-PL</t>
  </si>
  <si>
    <t>GigaVUE-OS Perpetual Software License for GVS-HC3A1-HW. Desired Software Support Program must be added.</t>
  </si>
  <si>
    <t>GVS-HC3A1-SW-TM-2-2a</t>
  </si>
  <si>
    <t>GigaVUE-OS Term Software License for GVS-HC3A1-HW. Includes Elite-Plus Software Support Program.</t>
  </si>
  <si>
    <t>GVS-HC3A1-SW-TM</t>
  </si>
  <si>
    <t>GVS-HC3A2-HW-2-2a</t>
  </si>
  <si>
    <t>GigaVUE-HC3 base unit w/ chassis, Control Card v2, 5 Fan Modules, CLI,  2 power supplies, DC power .  Hardware only.  Must pair with appropriate GigaVUE-OS Software License.</t>
  </si>
  <si>
    <t>GVS-HC3A2-HW</t>
  </si>
  <si>
    <t>GVS-HC3A2-SW-PL</t>
  </si>
  <si>
    <t>GigaVUE-OS Perpetual Software License for GVS-HC3A2-HW. Desired Software Support Program must be added.</t>
  </si>
  <si>
    <t>GVS-HC3A2-SW-TM-2-2a</t>
  </si>
  <si>
    <t>GigaVUE-OS Term Software License for GVS-HC3A2-HW. Includes Elite-Plus Software Support Program.</t>
  </si>
  <si>
    <t>GVS-HC3A2-SW-TM</t>
  </si>
  <si>
    <t>PRT-HC3-C08Q08-HW-2-2a</t>
  </si>
  <si>
    <t>Port Module, GigaVUE-HC3, 8x100G QSFP28 cages and 8x40G QSFP+ cages.  Hardware only.  Must pair with appropriate GigaVUE-OS Software License.</t>
  </si>
  <si>
    <t>PRT-HC3-C08Q08-HW</t>
  </si>
  <si>
    <t>PRT-HC3-C08Q08-SW-PL</t>
  </si>
  <si>
    <t>GigaVUE-OS Perpetual Software License for PRT-HC3-C08Q08-HW. Desired Software Support Program must be added.</t>
  </si>
  <si>
    <t>PRT-HC3-C08Q08-SW-TM-2-2a</t>
  </si>
  <si>
    <t>GigaVUE-OS Term Software License for PRT-HC3-C08Q08-HW. Includes Elite-Plus Software Support Program.</t>
  </si>
  <si>
    <t>PRT-HC3-C08Q08-SW-TM</t>
  </si>
  <si>
    <t>PRT-HC3-X24-HW-2-2a</t>
  </si>
  <si>
    <t>Port Module, GigaVUE-HC3, 24x10G SFP+ cages.  Hardware only.  Must pair with appropriate GigaVUE-OS Software License.</t>
  </si>
  <si>
    <t>PRT-HC3-X24-HW</t>
  </si>
  <si>
    <t>PRT-HC3-X24-SW-PL</t>
  </si>
  <si>
    <t>GigaVUE-OS Perpetual Software License for PRT-HC3-X24-HW. Desired Software Support Program must be added.</t>
  </si>
  <si>
    <t>PRT-HC3-X24-SW-TM-2-2a</t>
  </si>
  <si>
    <t>GigaVUE-OS Term Software License for PRT-HC3-X24-HW. Includes Elite-Plus Software Support Program.</t>
  </si>
  <si>
    <t>PRT-HC3-X24-SW-TM</t>
  </si>
  <si>
    <t>PRT-HC3-C16-HW-2-2a</t>
  </si>
  <si>
    <t>Port Module, GigaVUE-HC3, 16x100G QSFP28 cages.  Requires Control Card Version 2.  Hardware only.  Must pair with appropriate GigaVUE-OS Software License.</t>
  </si>
  <si>
    <t>PRT-HC3-C16-HW</t>
  </si>
  <si>
    <t>PRT-HC3-C16-SW-PL</t>
  </si>
  <si>
    <t>GigaVUE-OS Perpetual Software License for PRT-HC3-C16-HW. Desired Software Support Program must be added.</t>
  </si>
  <si>
    <t>PRT-HC3-C16-SW-TM-2-2a</t>
  </si>
  <si>
    <t>GigaVUE-OS Term Software License for PRT-HC3-C16-HW. Includes Elite-Plus Software Support Program.</t>
  </si>
  <si>
    <t>PRT-HC3-C16-SW-TM</t>
  </si>
  <si>
    <t>BPS-HC3-C25F2G-HW-2-2a</t>
  </si>
  <si>
    <t>Bypass Combo Module, GigaVUE-HC3, 2  40/100Gb SR4 BPS pairs, 16 10G SFP+ cages.  Hardware only.  Must pair with appropriate GigaVUE-OS Software License.</t>
  </si>
  <si>
    <t>BPS-HC3-C25F2G-HW</t>
  </si>
  <si>
    <t>BPS-HC3-C25F2G-SW-PL</t>
  </si>
  <si>
    <t>GigaVUE-OS Perpetual Software License for BPS-HC3-C25F2G-HW. Desired Software Support Program must be added.</t>
  </si>
  <si>
    <t>BPS-HC3-C25F2G-SW-TM-2-2a</t>
  </si>
  <si>
    <t>GigaVUE-OS Term Software License for BPS-HC3-C25F2G-HW. Includes Elite-Plus Software Support Program.</t>
  </si>
  <si>
    <t>BPS-HC3-C25F2G-SW-TM</t>
  </si>
  <si>
    <t>BPS-HC3-Q35C2G-HW-2-2a</t>
  </si>
  <si>
    <t>Bypass Combo Module, GigaVUE-HC3, 2 40Gb LR BPS pairs, 16 10G SFP+ cages.  Hardware only.  Must pair with appropriate GigaVUE-OS Software License.</t>
  </si>
  <si>
    <t>BPS-HC3-Q35C2G-HW</t>
  </si>
  <si>
    <t>BPS-HC3-Q35C2G-SW-PL</t>
  </si>
  <si>
    <t>GigaVUE-OS Perpetual Software License for BPS-HC3-Q35C2G-HW. Desired Software Support Program must be added.</t>
  </si>
  <si>
    <t>BPS-HC3-Q35C2G-SW-TM-2-2a</t>
  </si>
  <si>
    <t>GigaVUE-OS Term Software License for BPS-HC3-Q35C2G-HW. Includes Elite-Plus Software Support Program.</t>
  </si>
  <si>
    <t>BPS-HC3-Q35C2G-SW-TM</t>
  </si>
  <si>
    <t>BPS-HC3-C35C2G-HW-2-2a</t>
  </si>
  <si>
    <t>Bypass Combo Module, GigaVUE-HC3, 2 100Gb LR BPS pairs, 16 10G SFP+ cages.  Hardware only.  Must pair with appropriate GigaVUE-OS Software License.</t>
  </si>
  <si>
    <t>BPS-HC3-C35C2G-HW</t>
  </si>
  <si>
    <t>BPS-HC3-C35C2G-SW-PL</t>
  </si>
  <si>
    <t>GigaVUE-OS Perpetual Software License for BPS-HC3-C35C2G-HW. Desired Software Support Program must be added.</t>
  </si>
  <si>
    <t>BPS-HC3-C35C2G-SW-TM-2-2a</t>
  </si>
  <si>
    <t>GigaVUE-OS Term Software License for BPS-HC3-C35C2G-HW. Includes Elite-Plus Software Support Program.</t>
  </si>
  <si>
    <t>BPS-HC3-C35C2G-SW-TM</t>
  </si>
  <si>
    <t>SMT-HC3-GEN2-SAM-SW-PL-1</t>
  </si>
  <si>
    <t>GigaSMART, GigaVUE-HC3, Subscriber-Aware Metadata license for the AMI engine component. Includes entitlement to unlimited use of Subscriber Metadata Aggregation Function (SMAF). Does not include SMAF hardware. Does not include GTP and/or 5G Correlation l</t>
  </si>
  <si>
    <t>SMT-HC3-GEN2-SAM-SW-PL</t>
  </si>
  <si>
    <t>SMT-HC3-GEN2-SAM-SW-TM-1</t>
  </si>
  <si>
    <t>SMT-HC3-GEN2-SAM-SW-TM</t>
  </si>
  <si>
    <t>GVS-HC3A1-BN-HW-2</t>
  </si>
  <si>
    <t>Loaded HC3 Hardware Bundle (AC). Includes GigaVUE-HC3 base unit w/ chassis, Control Card v2, Five (5) Fan Modules, CLI,  Two (2) power supplies, Four (4) GigaSMART C05 modules, AC power. Hardware only. Must pair with appropriate HC3 Chassis Software Bund</t>
  </si>
  <si>
    <t>GVS-HC3A1-BN-HW</t>
  </si>
  <si>
    <t>GVS-HC3A2-BN-HW-2</t>
  </si>
  <si>
    <t>Loaded HC3 Hardware Bundle (DC). Includes GigaVUE-HC3 base unit w/ chassis, Control Card v2, Five (5) Fan Modules, CLI,  Two (2) power supplies, Four (4) GigaSMART C05 modules, DC power. Hardware only. Must pair with appropriate HC3 Chassis Software Bund</t>
  </si>
  <si>
    <t>GVS-HC3A2-BN-HW</t>
  </si>
  <si>
    <t>SMT-HC3-GEN2-BN-SAM120-SW-PL-1</t>
  </si>
  <si>
    <t>HC3 Chassis Software Bundle (Perpetual) for 120G of Subscriber-Aware Metadata. Includes: One (1) GigaVUE-OS HC3 Chassis Software License, Four (4) GigaVUE-OS C05 GigaSMART Module Licenses, One (1) HC3 GigaSMART GTP Correlation License, One (1) HC3 GigaSM</t>
  </si>
  <si>
    <t>SMT-HC3-GEN2-BN-SAM120-SW-PL</t>
  </si>
  <si>
    <t>SMT-HC3-GEN2-BN-SAM120-SW-TM3-1</t>
  </si>
  <si>
    <t>HC3 Chassis Software Bundle (3-yr Term) for 120G of Subscriber-Aware Metadata. Includes: One (1) GigaVUE-OS HC3 Chassis Software License, Four (4) GigaVUE-OS C05 GigaSMART Module Licenses, One (1) HC3 GigaSMART GTP Correlation License, One (1) HC3 GigaSM</t>
  </si>
  <si>
    <t>SMT-HC3-GEN2-BN-SAM120-SW-TM3</t>
  </si>
  <si>
    <t>SMT-HC3-GEN2-BN-SAM120-SW-TM5-1</t>
  </si>
  <si>
    <t>HC3 Chassis Software Bundle (5-yr Term) for 120G of Subscriber-Aware Metadata. Includes: One (1) GigaVUE-OS HC3 Chassis Software License, Four (4) GigaVUE-OS C05 GigaSMART Module Licenses, One (1) GigaSMART GTP Correlation License, One (1) GigaSMART 5G C</t>
  </si>
  <si>
    <t>SMT-HC3-GEN2-BN-SAM120-SW-TM5</t>
  </si>
  <si>
    <t>SMT-HC3-GEN2-5GC-SW-PL</t>
  </si>
  <si>
    <t>Perpetual license for  GigaSMART, GigaVUE-HC3, 5G Correlation, CUPS support, and SUPI-based load-balancing. Requires a base GTP Correlation license (e.g. SMT-HC3-GTPMAX-SW-PL)..  Desired Software Support Program must be added.  This is a Gen 2 license.</t>
  </si>
  <si>
    <t>SMT-HC3-GEN2-5GC-SW-TM-2-2a</t>
  </si>
  <si>
    <t>Monthly subscription license for  GigaSMART, GigaVUE-HC3, 5G Correlation, including CUPS and SUPI-based load-balancing. Requires a base GTP Correlation license (e.g. SMT-HC3-GTPMAX-SW-PL).   Includes embedded Elite-Plus Support.  Initial term must be 12</t>
  </si>
  <si>
    <t>SMT-HC3-GEN2-5GC-SW-TM</t>
  </si>
  <si>
    <t>SMT-HC3-C05-HW-2-2a</t>
  </si>
  <si>
    <t>Gen2 GigaSMART, GigaVUE-HC3, Module, 5x100G QSFP28 cages (includes Slicing, Masking, Source Port &amp; GigaVUE Tunneling De-Encapsulation SW).  Hardware only.  Must pair with appropriate GigaVUE-OS Software License.</t>
  </si>
  <si>
    <t>SMT-HC3-C05-HW</t>
  </si>
  <si>
    <t>SMT-HC3-C05-SW-PL</t>
  </si>
  <si>
    <t>GigaVUE-OS Perpetual Software License for SMT-HC3-C05-HW. Desired Software Support Program must be added.</t>
  </si>
  <si>
    <t>SMT-HC3-C05-SW-TM-2-2a</t>
  </si>
  <si>
    <t>GigaVUE-OS Term Software License for SMT-HC3-C05-HW. Includes Elite-Plus Software Support Program.</t>
  </si>
  <si>
    <t>SMT-HC3-C05-SW-TM</t>
  </si>
  <si>
    <t>SMT-HC3-GEN2-DD1-SW-PL</t>
  </si>
  <si>
    <t>Perpetual license for  GigaSMART, GigaVUE-HC3, De-Duplication feature license per GigaSMART module.  Desired Software Support Program must be added.  This is a Gen 2 license.</t>
  </si>
  <si>
    <t>SMT-HC3-GEN2-DD1-SW-TM-2-2a</t>
  </si>
  <si>
    <t>Monthly subscription license for  GigaSMART, GigaVUE-HC3, De-Duplication feature license per GigaSMART module.   Includes embedded Elite-Plus Support.  Initial term must be 12 months or longer.  This is a Gen 2 license.</t>
  </si>
  <si>
    <t>SMT-HC3-GEN2-DD1-SW-TM</t>
  </si>
  <si>
    <t>SMT-HC3-GEN2-HS1-SW-PL</t>
  </si>
  <si>
    <t>Perpetual license for  GigaSMART, GigaVUE-HC3, Header Stripping feature license per GigaSMART module.  Desired Software Support Program must be added.  This is a Gen 2 license.</t>
  </si>
  <si>
    <t>SMT-HC3-GEN2-HS1-SW-TM-2-2a</t>
  </si>
  <si>
    <t>Monthly subscription license for  GigaSMART, GigaVUE-HC3, Header Stripping feature license per GigaSMART module.   Includes embedded Elite-Plus Support.  Initial term must be 12 months or longer.  This is a Gen 2 license.</t>
  </si>
  <si>
    <t>SMT-HC3-GEN2-HS1-SW-TM</t>
  </si>
  <si>
    <t>SMT-HC3-GEN2-AT1-SW-PL</t>
  </si>
  <si>
    <t>Perpetual license for  GigaSMART, GigaVUE-HC3, Advanced Tunneling feature license per GigaSMART module.  Desired Software Support Program must be added.  This is a Gen 2 license.</t>
  </si>
  <si>
    <t>SMT-HC3-GEN2-AT1-SW-TM-2-2a</t>
  </si>
  <si>
    <t>Monthly subscription license for  GigaSMART, GigaVUE-HC3, Advanced Tunneling feature license per GigaSMART module.   Includes embedded Elite-Plus Support.  Initial term must be 12 months or longer.  This is a Gen 2 license.</t>
  </si>
  <si>
    <t>SMT-HC3-GEN2-AT1-SW-TM</t>
  </si>
  <si>
    <t>SMT-HC3-GEN2-FVU-SW-PL</t>
  </si>
  <si>
    <t>Perpetual license for  GigaSMART, GigaVUE-HC3, FlowVUE feature license per GigaSMART module.  Desired Software Support Program must be added.  This is a Gen 2 license.</t>
  </si>
  <si>
    <t>SMT-HC3-GEN2-FVU-SW-TM-2-2a</t>
  </si>
  <si>
    <t>Monthly subscription license for  GigaSMART, GigaVUE-HC3, FlowVUE feature license per GigaSMART module.   Includes embedded Elite-Plus Support.  Initial term must be 12 months or longer.  This is a Gen 2 license.</t>
  </si>
  <si>
    <t>SMT-HC3-GEN2-FVU-SW-TM</t>
  </si>
  <si>
    <t>SMT-HC3-GEN2-APF-SW-PL</t>
  </si>
  <si>
    <t>Perpetual license for  GigaSMART, GigaVUE-HC3, Adaptive Packet Filtering feature license per GigaSMART module.  Desired Software Support Program must be added.  This is a Gen 2 license.</t>
  </si>
  <si>
    <t>SMT-HC3-GEN2-APF-SW-TM-2-2a</t>
  </si>
  <si>
    <t>Monthly subscription license for  GigaSMART, GigaVUE-HC3, Adaptive Packet Filtering feature license per GigaSMART module.   Includes embedded Elite-Plus Support.  Initial term must be 12 months or longer.  This is a Gen 2 license.</t>
  </si>
  <si>
    <t>SMT-HC3-GEN2-APF-SW-TM</t>
  </si>
  <si>
    <t>SMT-HC3-GEN2-ASF-SW-PL</t>
  </si>
  <si>
    <t>Perpetual license for  GigaSMART, GigaVUE-HC3, Application Session Filtering feature license per GigaSMART module; requires SMT-HC3-APF.  Desired Software Support Program must be added.  This is a Gen 2 license.</t>
  </si>
  <si>
    <t>SMT-HC3-GEN2-ASF-SW-TM</t>
  </si>
  <si>
    <t>Monthly subscription license for  GigaSMART, GigaVUE-HC3, Application Session Filtering feature license per GigaSMART module; requires SMT-HC3-APF.   Includes embedded Elite Support.  Initial term must be 12 months or longer.  This is a Gen 2 license.</t>
  </si>
  <si>
    <t>SMT-HC3-GEN2-NF1-SW-PL</t>
  </si>
  <si>
    <t>Perpetual license for  GigaSMART, GigaVUE-HC3, NetFlow Generation feature license per GigaSMART module.  Desired Software Support Program must be added.  This is a Gen 2 license.</t>
  </si>
  <si>
    <t>SMT-HC3-GEN2-NF1-SW-TM-2-2a</t>
  </si>
  <si>
    <t>Monthly subscription license for  GigaSMART, GigaVUE-HC3, NetFlow Generation feature license per GigaSMART module.   Includes embedded Elite-Plus Support.  Initial term must be 12 months or longer.  This is a Gen 2 license.</t>
  </si>
  <si>
    <t>SMT-HC3-GEN2-NF1-SW-TM</t>
  </si>
  <si>
    <t>SMT-HC3-GEN2-SSL-SW-PL</t>
  </si>
  <si>
    <t>Perpetual license for  GigaSMART, GigaVUE-HC3, SSL Decryption for Out of Band Tools Feature License per GigaSMART module.  Desired Software Support Program must be added.  This is a Gen 2 license.</t>
  </si>
  <si>
    <t>SMT-HC3-GEN2-SSL-SW-TM-2-2a</t>
  </si>
  <si>
    <t>Monthly subscription license for  GigaSMART, GigaVUE-HC3, SSL Decryption for Out of Band Tools Feature License per GigaSMART module.   Includes embedded Elite-Plus Support.  Initial term must be 12 months or longer.  This is a Gen 2 license.</t>
  </si>
  <si>
    <t>SMT-HC3-GEN2-SSL-SW-TM</t>
  </si>
  <si>
    <t>SMT-HC3-GEN2-INSSL-SW-PL</t>
  </si>
  <si>
    <t>Perpetual license for  GigaSMART, GigaVUE-HC3, SSL Decryption for Inline and Out of Band Tools Feature License per GigaSMART module.  Desired Software Support Program must be added.  This is a Gen 2 license.</t>
  </si>
  <si>
    <t>SMT-HC3-GEN2-INSSL-SW-TM-2-2a</t>
  </si>
  <si>
    <t>Monthly subscription license for  GigaSMART, GigaVUE-HC3, SSL Decryption for Inline and Out of Band Tools Feature License per GigaSMART module.   Includes embedded Elite-Plus Support.  Initial term must be 12 months or longer.  This is a Gen 2 license.</t>
  </si>
  <si>
    <t>SMT-HC3-GEN2-INSSL-SW-TM</t>
  </si>
  <si>
    <t>SMT-HC3-GEN2-GTPMAX-SW-PL</t>
  </si>
  <si>
    <t>Perpetual license for  GigaSMART, GigaVUE-HC3, GTP Filtering &amp; Correlation feature license per GigaSMART module, Maximum subscribers.  Desired Software Support Program must be added.  This is a Gen 2 license.</t>
  </si>
  <si>
    <t>SMT-HC3-GEN2-GTPMAX-SW-TM-2-2a</t>
  </si>
  <si>
    <t>Monthly subscription license for  GigaSMART, GigaVUE-HC3, GTP Filtering &amp; Correlation feature license per GigaSMART module, Maximum subscribers.   Includes embedded Elite-Plus Support.  Initial term must be 12 months or longer.  This is a Gen 2 license.</t>
  </si>
  <si>
    <t>SMT-HC3-GEN2-GTPMAX-SW-TM</t>
  </si>
  <si>
    <t>SMT-HC3-GEN2-SIPMAX-SW-PL</t>
  </si>
  <si>
    <t>Perpetual license for  GigaSMART, GigaVUE-HC3, SIP &amp; RTP Correlation feature license per GigaSMART module, unlimited sessions.  Desired Software Support Program must be added.  This is a Gen 2 license.</t>
  </si>
  <si>
    <t>SMT-HC3-GEN2-SIPMAX-SW-TM-2-2a</t>
  </si>
  <si>
    <t>Monthly subscription license for  GigaSMART, GigaVUE-HC3, SIP &amp; RTP Correlation feature license per GigaSMART module, maximum sessions.   Includes embedded Elite-Plus Support.  Initial term must be 12 months or longer.  This is a Gen 2 license.</t>
  </si>
  <si>
    <t>SMT-HC3-GEN2-SIPMAX-SW-TM</t>
  </si>
  <si>
    <t>SMT-HC3-GEN2-AFI-SW-TM-2-2a</t>
  </si>
  <si>
    <t>Monthly subscription license for  Application Filtering Intelligence (1 Month ) – GigaVUE-HC3 (12-month Minimum). Includes bundled Elite-Plus Support.</t>
  </si>
  <si>
    <t>SMT-HC3-GEN2-AFI-SW-TM</t>
  </si>
  <si>
    <t>SMT-HC3-GEN2-AMI-SW-TM-2-2a</t>
  </si>
  <si>
    <t>Monthly subscription license for  Application Metadata Intelligence (1 Month) – GigaVUE-HC3 (12-Month Minimum). *Includes bundled Elite-Plus Support.</t>
  </si>
  <si>
    <t>SMT-HC3-GEN2-AMI-SW-TM</t>
  </si>
  <si>
    <t>SMT-HC3-GEN2-AFS-SW-TM-2-2a</t>
  </si>
  <si>
    <t>Monthly subscription license for Advanced Flow Slicing (1 Month ) – GigaVUE-HC3 (12-month Minimum). *Includes bundled Elite-Plus Support.</t>
  </si>
  <si>
    <t>SMT-HC3-GEN2-AFS-SW-TM</t>
  </si>
  <si>
    <t>SMT-HC3-GEN2-VDR-SW-TM-2-2a</t>
  </si>
  <si>
    <t>Monthly subscription license for  GigaSMART, GigaVUE-HC3, Video Data Record generation for Nokia AVA platform. 12-month minimum. Includes bundled Elite-Plus Support.</t>
  </si>
  <si>
    <t>SMT-HC3-GEN2-VDR-SW-TM</t>
  </si>
  <si>
    <t>SMT-HC3-GEN2--BN-CORE-SW-TM-1</t>
  </si>
  <si>
    <t>Monthly subscription license for  CoreVUE GigaSMART software bundle for GigaVUE-HC3. Capabilities included: Advanced Tunneling, Header Stripping, Slicing, Masking, Advanced Load Balancing, Source Port Labeling. Includes bundled Elite Support.</t>
  </si>
  <si>
    <t>SMT-HC3-GEN2--BN-CORE-SW-TM</t>
  </si>
  <si>
    <t>SMT-HC3-GEN2--BN-NV-SW-TM-1</t>
  </si>
  <si>
    <t>Monthly subscription license for  NetVUE GigaSMART software bundle for GigaVUE-HC3. Capabilities included: All CoreVUE GigaSMART capabilities, De-duplication, NetFlow Generation. Includes bundled Elite Support.</t>
  </si>
  <si>
    <t>SMT-HC3-GEN2--BN-NV-SW-TM</t>
  </si>
  <si>
    <t>SMT-HC3-GEN2--BN-NVP-SW-TM-1</t>
  </si>
  <si>
    <t>Monthly subscription license for  NetVUE Plus GigaSMART software bundle for GigaVUE-HC3. Capabilities included: All NetVUE GigaSMART capabilities, Application Filtering Intelligence, Adaptive Packet Filtering, Advanced Flow Slicing. Includes bundled Elit</t>
  </si>
  <si>
    <t>SMT-HC3-GEN2--BN-NVP-SW-TM</t>
  </si>
  <si>
    <t>SMT-HC3-GEN2--BN-SV-SW-TM-1</t>
  </si>
  <si>
    <t>Monthly subscription license for  SecureVUE GigaSMART software bundle for GigaVUE-HC3. Capabilities included: All CoreVUE GigaSMART capabilities, De-duplication, NetFlow Generation, Adaptive Packet Filtering. Includes bundled Elite Support.</t>
  </si>
  <si>
    <t>SMT-HC3-GEN2--BN-SV-SW-TM</t>
  </si>
  <si>
    <t>SMT-HC3-GEN2--BN-SVP-SW-TM-1</t>
  </si>
  <si>
    <t>Monthly subscription license for  SecureVUE Plus GigaSMART software bundle for GigaVUE-HC3. Capabilities included: All SecureVUE GigaSMART capabilities, SSL Decryption (Inline + Out-of-band), Application Filtering Intelligence, Application Metadata Intel</t>
  </si>
  <si>
    <t>SMT-HC3-GEN2--BN-SVP-SW-TM</t>
  </si>
  <si>
    <t>SMT-HC3-GEN2--BN-MV-SW-TM-1</t>
  </si>
  <si>
    <t>Monthly subscription license for  MobileVUE GigaSMART software bundle for GigaVUE-HC3. Capabilities included: All CoreVUE GigaSMART capabilities, GTP Correlation, FlowVUE, 5G Correlation, CUPS and SUPI-based load balancing. Includes bundled Elite Support</t>
  </si>
  <si>
    <t>SMT-HC3-GEN2--BN-MV-SW-TM</t>
  </si>
  <si>
    <t>SMT-HC3-GEN2--UPGBN-NV-SW-TM-1</t>
  </si>
  <si>
    <t>Monthly subscription license for  Upgrade SKU from CoreVUE to NetVUE GigaSMART software bundle for GigaVUE-HC3. Includes bundled Elite Support.</t>
  </si>
  <si>
    <t>SMT-HC3-GEN2--UPGBN-NV-SW-TM</t>
  </si>
  <si>
    <t>SMT-HC3-GEN2--UPGBN-NVP-SW-TM-1</t>
  </si>
  <si>
    <t>Monthly subscription license for  Upgrade SKU from NetVUE to NetVUE Plus GigaSMART software bundle for GigaVUE-HC3. Includes bundled Elite Support.</t>
  </si>
  <si>
    <t>SMT-HC3-GEN2--UPGBN-NVP-SW-TM</t>
  </si>
  <si>
    <t>SMT-HC3-GEN2--UPGBN-SV-SW-TM-1</t>
  </si>
  <si>
    <t>Monthly subscription license for  Upgrade SKU from CoreVUE to SecureVUE GigaSMART software bundle for GigaVUE-HC3. Includes bundled Elite Support.</t>
  </si>
  <si>
    <t>SMT-HC3-GEN2--UPGBN-SV-SW-TM</t>
  </si>
  <si>
    <t>SMT-HC3-GEN2--UPGBN-SVP-SW-TM-1</t>
  </si>
  <si>
    <t>Monthly subscription license for  Upgrade SKU from SecureVUE to SecureVUE Plus GigaSMART software bundle for GigaVUE-HC3. Includes bundled Elite Support.</t>
  </si>
  <si>
    <t>SMT-HC3-GEN2--UPGBN-SVP-SW-TM</t>
  </si>
  <si>
    <t>SMT-HC3-GEN2--UPGBN-MV-SW-TM-1</t>
  </si>
  <si>
    <t>Monthly subscription license for  Upgrade SKU from CoreVUE to MobileVUE GigaSMART software bundle for GigaVUE-HC3. Includes bundled Elite Support.</t>
  </si>
  <si>
    <t>SMT-HC3-GEN2--UPGBN-MV-SW-TM</t>
  </si>
  <si>
    <t>GTP-ATX00-HW-1</t>
  </si>
  <si>
    <t>G-TAP A Series, Always On 10/100/1000M copper TAP, No Power Hardware Only.</t>
  </si>
  <si>
    <t>GTP-ATX00-HW</t>
  </si>
  <si>
    <t>GTP-ATX01-HW-1</t>
  </si>
  <si>
    <t>G-TAP A Series, Always On  10/100/1000M copper TAP, AC Power (US Plug)  Hardware Only.</t>
  </si>
  <si>
    <t>GTP-ATX01-HW</t>
  </si>
  <si>
    <t>GTP-ATX02-HW-1</t>
  </si>
  <si>
    <t>G-TAP A Series, Always On  10/100/1000M copper TAP, DC Power Hardware Only.</t>
  </si>
  <si>
    <t>GTP-ATX02-HW</t>
  </si>
  <si>
    <t>GTP-ATX21-HW-1</t>
  </si>
  <si>
    <t>G-TAP A Series 2, Always On Tap, taps 4 10/100/1000BASE-T links, fan assembly, 1 power brick (NA), rack mount kit. Includes North American power cord. Hardware Only.</t>
  </si>
  <si>
    <t>GTP-ATX21-HW</t>
  </si>
  <si>
    <t>GTP-ASF00-HW-1</t>
  </si>
  <si>
    <t>G-TAP A Series, Always On SFP/SFP+ TAP, No Power. Hardware Only.</t>
  </si>
  <si>
    <t>GTP-ASF00-HW</t>
  </si>
  <si>
    <t>GTP-ASF01-HW-1</t>
  </si>
  <si>
    <t>G-TAP A Series, Always On SFP/SFP+ TAP, AC Power (US Plug)  Hardware Only.</t>
  </si>
  <si>
    <t>GTP-ASF01-HW</t>
  </si>
  <si>
    <t>GTP-ASF02-HW-1</t>
  </si>
  <si>
    <t>G-TAP A Series, Always On SFP/SFP+ TAP, DC Power  Hardware Only.</t>
  </si>
  <si>
    <t>GTP-ASF02-HW</t>
  </si>
  <si>
    <t>GTP-ASF21-HW-1</t>
  </si>
  <si>
    <t>G-TAP A Series 2, Always On Tap, taps 4 1/10Gb SFP/SFP+ links, fan assembly, 1 power brick (NA), rack mount kit. Includes North American power cord. Hardware Only.</t>
  </si>
  <si>
    <t>GTP-ASF21-HW</t>
  </si>
  <si>
    <t>TAP-M451T-2-2a</t>
  </si>
  <si>
    <t>G-TAP M Series 40/100Gb MPO TAP module, 50/50 Multimode, 850nm, 50/125um OM5 fiber MPO, taps 3 40/100Gb links, requires TAP-M100T or TAP-M200T chassis. TAA Compliant.</t>
  </si>
  <si>
    <t>TAP-M451T</t>
  </si>
  <si>
    <t>TAP-M471T-2-2a</t>
  </si>
  <si>
    <t>G-TAP M Series 40/100Gb MPO TAP module, 70/30 Multimode, 850nm, 50/125um OM5 fiber MPO, taps 3 40/100Gb links, requires TAP-M100T or TAP-M200T chassis. TAA Compliant.</t>
  </si>
  <si>
    <t>TAP-M471T</t>
  </si>
  <si>
    <t>GIP-TRUEUP-2-2a</t>
  </si>
  <si>
    <t>Throughput True-up SKU for traffic overages in ThreatINSIGHT for 1 Gbps of metered use per month.</t>
  </si>
  <si>
    <t>GIP-TRUEUP</t>
  </si>
  <si>
    <t>GIP-SEN-S-BUY-1</t>
  </si>
  <si>
    <t>Small-size physical sensor to deliver data to Gigamon Insight SaaS Platform. Does not include support. Must quote Elite level support separately.</t>
  </si>
  <si>
    <t>GIP-SEN-S-BUY</t>
  </si>
  <si>
    <t>GIP-SEN-L-BUY-1</t>
  </si>
  <si>
    <t>Large-size physical sensor to deliver data to Gigamon Insight SaaS Platform. Does not include support. Must quote Elite level support separately.</t>
  </si>
  <si>
    <t>GIP-SEN-L-BUY</t>
  </si>
  <si>
    <t>GFM-HW1-FM010-HW-1</t>
  </si>
  <si>
    <t>"GigaVUE-FM Hardware Appliance (dual 2.1GHz 8 core/16 thread CPU, 2 TB hard disk drive with RAID, 2x10Gb and 2x1Gb network interfaces), manages up to 10 physical Visibility Fabric Nodes  Hardware Only.</t>
  </si>
  <si>
    <t>GFM-HW1-FM010-HW</t>
  </si>
  <si>
    <t>Q28-511T-2-2a</t>
  </si>
  <si>
    <t>100G QSFP28, Singlemode DR1, TAA Compliant.</t>
  </si>
  <si>
    <t>Q28-511T</t>
  </si>
  <si>
    <t>SFP-531T-2-2a</t>
  </si>
  <si>
    <t>10G SFP+, Copper 10GBASE-T, RJ45 interface, TAA Compliant.</t>
  </si>
  <si>
    <t>SFP-531T</t>
  </si>
  <si>
    <t>SFP-534T-2-2a</t>
  </si>
  <si>
    <t>10G SFP+, Singlemode ER, TAA Compliant.</t>
  </si>
  <si>
    <t>SFP-534T</t>
  </si>
  <si>
    <t>GPS-PSR-GNE-2-2a</t>
  </si>
  <si>
    <t>Remote GigaHEALTH Express Check option (4-hours), used within 6 months of services kick off date.
Optimization assistance which provides remote Gigamon resource to collect, analyze and provide recommended optimization recommendations for customer’s Giga</t>
  </si>
  <si>
    <t>GPS-PSR-GNE</t>
  </si>
  <si>
    <t>GSS-FYS-HW-AHR-GMO-2</t>
  </si>
  <si>
    <t>Gigamon annual AHR HW Replacement Program with direct Gigamon support, purchased with product or within 1 year of original purchase of product</t>
  </si>
  <si>
    <t>GSS-FYS-HW-AHR-GMO</t>
  </si>
  <si>
    <t>GTP-ASF21-2-2a</t>
  </si>
  <si>
    <t>GTP-ASF21</t>
  </si>
  <si>
    <t>GPS-GRS-RS4</t>
  </si>
  <si>
    <t>Gigamon Remote Resident Services Engineer - Annual Contracted Remote Services  (4 weeks / consumed by week within 12 calendar months)
Recommended for a customer with a large or changing Gigamon deployment requiring direct Gigamon expertise.</t>
  </si>
  <si>
    <t>SMT-HC1-GEN2-BN-CORE-SW-TM-2-2a</t>
  </si>
  <si>
    <t>Monthly subscription license for  CoreVUE GigaSMART software bundle for GigaVUE-HC1. Capabilities included: Advanced Tunneling, Header Stripping, Slicing, Masking, Advanced Load Balancing, Source Port Labeling. Includes bundled Elite-Plus Support.</t>
  </si>
  <si>
    <t>SMT-HC1-GEN2-BN-CORE-SW-TM</t>
  </si>
  <si>
    <t>SMT-HC1-GEN2-BN-NV-SW-TM-2-2a</t>
  </si>
  <si>
    <t>Monthly subscription license for  NetVUE GigaSMART software bundle for GigaVUE-HC1. Capabilities included: All CoreVUE GigaSMART capabilities, De-duplication, NetFlow Generation. Includes bundled Elite-Plus Support.</t>
  </si>
  <si>
    <t>SMT-HC1-GEN2-BN-NV-SW-TM</t>
  </si>
  <si>
    <t>SMT-HC1-GEN2-BN-NVP-SW-TM-2-2a</t>
  </si>
  <si>
    <t>SMT-HC1-GEN2-BN-NVP-SW-TM</t>
  </si>
  <si>
    <t>SMT-HC1-GEN2-BN-SV-SW-TM-2-2a</t>
  </si>
  <si>
    <t>Monthly subscription license for  SecureVUE GigaSMART software bundle for GigaVUE-HC1. Capabilities included: All CoreVUE GigaSMART capabilities, De-duplication, NetFlow Generation, Adaptive Packet Filtering. Includes bundled Elite-Plus Support.</t>
  </si>
  <si>
    <t>SMT-HC1-GEN2-BN-SV-SW-TM</t>
  </si>
  <si>
    <t>SMT-HC1-GEN2-BN-SVP-SW-TM-2-2a</t>
  </si>
  <si>
    <t>SMT-HC1-GEN2-BN-SVP-SW-TM</t>
  </si>
  <si>
    <t>SMT-HC1-GEN2-UPGBN-NV-SW-TM-2-2a</t>
  </si>
  <si>
    <t>Monthly subscription license for  Upgrade SKU from CoreVUE to NetVUE GigaSMART software bundle for GigaVUE-HC1. Includes bundled Elite-Plus Support.</t>
  </si>
  <si>
    <t>SMT-HC1-GEN2-UPGBN-NV-SW-TM</t>
  </si>
  <si>
    <t>SMT-HC1-GEN2-UPGBN-NVP-SW-TM-2-2a</t>
  </si>
  <si>
    <t>Monthly subscription license for  Upgrade SKU from NetVUE to NetVUE Plus GigaSMART software bundle for GigaVUE-HC1. Includes bundled Elite-Plus Support.</t>
  </si>
  <si>
    <t>SMT-HC1-GEN2-UPGBN-NVP-SW-TM</t>
  </si>
  <si>
    <t>SMT-HC1-GEN2-UPGBN-SV-SW-TM-2-2a</t>
  </si>
  <si>
    <t>Monthly subscription license for  Upgrade SKU from CoreVUE to SecureVUE GigaSMART software bundle for GigaVUE-HC1. Includes bundled Elite-Plus Support.</t>
  </si>
  <si>
    <t>SMT-HC1-GEN2-UPGBN-SV-SW-TM</t>
  </si>
  <si>
    <t>SMT-HC1-GEN2-UPGBN-SVP-SW-TM-2-2a</t>
  </si>
  <si>
    <t>Monthly subscription license for  Upgrade SKU from SecureVUE to SecureVUE Plus GigaSMART software bundle for GigaVUE-HC1. Includes bundled Elite-Plus Support.</t>
  </si>
  <si>
    <t>SMT-HC1-GEN2-UPGBN-SVP-SW-TM</t>
  </si>
  <si>
    <t>SMT-HC2-GEN2-BN-CORE-SW-TM-2-2a</t>
  </si>
  <si>
    <t>SMT-HC2-GEN2-BN-CORE-SW-TM</t>
  </si>
  <si>
    <t>GigaVUE-HC2</t>
  </si>
  <si>
    <t>SMT-HC2-GEN2-BN-NV-SW-TM-2-2a</t>
  </si>
  <si>
    <t>Monthly subscription license for  NetVUE Gen2 GigaSMART software bundle for GigaVUE-HC2. Requires SMT-HC0-Q02X08. Capabilities included: All CoreVUE GigaSMART capabilities, De-duplication, NetFlow Generation. Includes bundled Elite-Plus Support.</t>
  </si>
  <si>
    <t>SMT-HC2-GEN2-BN-NV-SW-TM</t>
  </si>
  <si>
    <t>SMT-HC2-GEN2-BN-NVP-SW-TM-2-2a</t>
  </si>
  <si>
    <t>SMT-HC2-GEN2-BN-NVP-SW-TM</t>
  </si>
  <si>
    <t>SMT-HC2-GEN2-BN-SV-SW-TM-2-2a</t>
  </si>
  <si>
    <t>SMT-HC2-GEN2-BN-SV-SW-TM</t>
  </si>
  <si>
    <t>SMT-HC2-GEN2-BN-SVP-SW-TM-2-2a</t>
  </si>
  <si>
    <t>SMT-HC2-GEN2-BN-SVP-SW-TM</t>
  </si>
  <si>
    <t>SMT-HC2-GEN2-BN-MV-SW-TM-2-2a</t>
  </si>
  <si>
    <t>SMT-HC2-GEN2-BN-MV-SW-TM</t>
  </si>
  <si>
    <t>SMT-HC2-GEN2-UPGBN-NV-SW-TM-2-2a</t>
  </si>
  <si>
    <t>Monthly subscription license for  Upgrade SKU from CoreVUE to NetVUE GigaSMART software bundle for GigaVUE-HC2. Requires SMT-HC0-Q02X08. Includes bundled Elite-Plus Support.</t>
  </si>
  <si>
    <t>SMT-HC2-GEN2-UPGBN-NV-SW-TM</t>
  </si>
  <si>
    <t>SMT-HC2-GEN2-UPGBN-NVP-SW-TM-2-2a</t>
  </si>
  <si>
    <t>Monthly subscription license for  Upgrade SKU from NetVUE to NetVUE Plus GigaSMART software bundle for GigaVUE-HC2. Requires SMT-HC0-Q02X08. Includes bundled Elite-Plus Support.</t>
  </si>
  <si>
    <t>SMT-HC2-GEN2-UPGBN-NVP-SW-TM</t>
  </si>
  <si>
    <t>SMT-HC2-GEN2-UPGBN-SV-SW-TM-2-2a</t>
  </si>
  <si>
    <t>Monthly subscription license for  Upgrade SKU from CoreVUE to SecureVUE GigaSMART software bundle for GigaVUE-HC2. Requires SMT-HC0-Q02X08. Includes bundled Elite-Plus Support.</t>
  </si>
  <si>
    <t>SMT-HC2-GEN2-UPGBN-SV-SW-TM</t>
  </si>
  <si>
    <t>SMT-HC2-GEN2-UPGBN-SVP-SW-TM-2-2a</t>
  </si>
  <si>
    <t>Monthly subscription license for  Upgrade SKU from SecureVUE to SecureVUE Plus GigaSMART software bundle for GigaVUE-HC2. Requires SMT-HC0-Q02X08. Includes bundled Elite-Plus Support.</t>
  </si>
  <si>
    <t>SMT-HC2-GEN2-UPGBN-SVP-SW-TM</t>
  </si>
  <si>
    <t>SMT-HC2-GEN2-UPGBN-MV-SW-TM-2-2a</t>
  </si>
  <si>
    <t>Monthly subscription license for  Upgrade SKU from CoreVUE to MobileVUE GigaSMART software bundle for GigaVUE-HC2. Requires SMT-HC0-Q02X08. Includes bundled Elite-Plus Support.</t>
  </si>
  <si>
    <t>SMT-HC2-GEN2-UPGBN-MV-SW-TM</t>
  </si>
  <si>
    <t>SMT-HC3-GEN2-BN-CORE-SW-TM-2-2a</t>
  </si>
  <si>
    <t>Monthly subscription license for  CoreVUE GigaSMART software bundle for GigaVUE-HC3. Capabilities included: Advanced Tunneling, Header Stripping, Slicing, Masking, Advanced Load Balancing, Source Port Labeling. Includes bundled Elite-Plus Support.</t>
  </si>
  <si>
    <t>SMT-HC3-GEN2-BN-CORE-SW-TM</t>
  </si>
  <si>
    <t>GigaVUE-HC3</t>
  </si>
  <si>
    <t>SMT-HC3-GEN2-BN-NV-SW-TM-2-2a</t>
  </si>
  <si>
    <t>Monthly subscription license for  NetVUE GigaSMART software bundle for GigaVUE-HC3. Capabilities included: All CoreVUE GigaSMART capabilities, De-duplication, NetFlow Generation. Includes bundled Elite-Plus Support.</t>
  </si>
  <si>
    <t>SMT-HC3-GEN2-BN-NV-SW-TM</t>
  </si>
  <si>
    <t>SMT-HC3-GEN2-BN-NVP-SW-TM-2-2a</t>
  </si>
  <si>
    <t>SMT-HC3-GEN2-BN-NVP-SW-TM</t>
  </si>
  <si>
    <t>SMT-HC3-GEN2-BN-SV-SW-TM-2-2a</t>
  </si>
  <si>
    <t>Monthly subscription license for  SecureVUE GigaSMART software bundle for GigaVUE-HC3. Capabilities included: All CoreVUE GigaSMART capabilities, De-duplication, NetFlow Generation, Adaptive Packet Filtering. Includes bundled Elite-Plus Support.</t>
  </si>
  <si>
    <t>SMT-HC3-GEN2-BN-SV-SW-TM</t>
  </si>
  <si>
    <t>SMT-HC3-GEN2-BN-SVP-SW-TM-2-2a</t>
  </si>
  <si>
    <t>SMT-HC3-GEN2-BN-SVP-SW-TM</t>
  </si>
  <si>
    <t>SMT-HC3-GEN2-BN-MV-SW-TM-2-2a</t>
  </si>
  <si>
    <t>Monthly subscription license for  MobileVUE GigaSMART software bundle for GigaVUE-HC3. Capabilities included: All CoreVUE GigaSMART capabilities, GTP Correlation, FlowVUE, 5G Correlation, CUPS and SUPI-based load balancing. Includes bundled Elite-Plus Su</t>
  </si>
  <si>
    <t>SMT-HC3-GEN2-BN-MV-SW-TM</t>
  </si>
  <si>
    <t>SMT-HC3-GEN2-UPGBN-NV-SW-TM-2-2a</t>
  </si>
  <si>
    <t>Monthly subscription license for  Upgrade SKU from CoreVUE to NetVUE GigaSMART software bundle for GigaVUE-HC3. Includes bundled Elite-Plus Support.</t>
  </si>
  <si>
    <t>SMT-HC3-GEN2-UPGBN-NV-SW-TM</t>
  </si>
  <si>
    <t>SMT-HC3-GEN2-UPGBN-NVP-SW-TM-2-2a</t>
  </si>
  <si>
    <t>Monthly subscription license for  Upgrade SKU from NetVUE to NetVUE Plus GigaSMART software bundle for GigaVUE-HC3. Includes bundled Elite-Plus Support.</t>
  </si>
  <si>
    <t>SMT-HC3-GEN2-UPGBN-NVP-SW-TM</t>
  </si>
  <si>
    <t>SMT-HC3-GEN2-UPGBN-SV-SW-TM-2-2a</t>
  </si>
  <si>
    <t>Monthly subscription license for  Upgrade SKU from CoreVUE to SecureVUE GigaSMART software bundle for GigaVUE-HC3. Includes bundled Elite-Plus Support.</t>
  </si>
  <si>
    <t>SMT-HC3-GEN2-UPGBN-SV-SW-TM</t>
  </si>
  <si>
    <t>SMT-HC3-GEN2-UPGBN-SVP-SW-TM-2-2a</t>
  </si>
  <si>
    <t>Monthly subscription license for  Upgrade SKU from SecureVUE to SecureVUE Plus GigaSMART software bundle for GigaVUE-HC3. Includes bundled Elite-Plus Support.</t>
  </si>
  <si>
    <t>SMT-HC3-GEN2-UPGBN-SVP-SW-TM</t>
  </si>
  <si>
    <t>SMT-HC3-GEN2-UPGBN-MV-SW-TM-2-2a</t>
  </si>
  <si>
    <t>Monthly subscription license for  Upgrade SKU from CoreVUE to MobileVUE GigaSMART software bundle for GigaVUE-HC3. Includes bundled Elite-Plus Support.</t>
  </si>
  <si>
    <t>SMT-HC3-GEN2-UPGBN-MV-SW-TM</t>
  </si>
  <si>
    <t>TAP-M200T-2-2a</t>
  </si>
  <si>
    <t>G-TAP M Series 1 RU chassis. Supports up to 6 M Series TAP modules. TAA Compliant.</t>
  </si>
  <si>
    <t>TAP-M200T</t>
  </si>
  <si>
    <t>GIP-METASTREAM</t>
  </si>
  <si>
    <t>Access to metadata for ThreatINSIGHT for 1 Gbps of metered use per month.</t>
  </si>
  <si>
    <t>Insight</t>
  </si>
  <si>
    <t>Q28-503T</t>
  </si>
  <si>
    <t>100G QSFP28, Singlemode LR4. TAA Compliant.</t>
  </si>
  <si>
    <t>Accessories and Spares</t>
  </si>
  <si>
    <t>QSF-503T</t>
  </si>
  <si>
    <t>40G QSFP+, Singlemode LR4. TAA Compliant.</t>
  </si>
  <si>
    <t>QSF-506T</t>
  </si>
  <si>
    <t>40G QSFP+ Parallel Singlemode LR for 4x10G Breakout, 1310 nm. TAA Compliant.</t>
  </si>
  <si>
    <t>QSF-507T</t>
  </si>
  <si>
    <t>40G QSFP+, Multimode SR4 Extended Reach. TAA Compliant.</t>
  </si>
  <si>
    <t>GPS-PSR-DD4-2-2a</t>
  </si>
  <si>
    <t>Gigamon PS Remote Design and Deployment assistance, 4 hours, used w/in 6 months of services kick off date.
Remote Design and Deployment assistance, ideal for software upgrades, small deployments, and limited feature additions.  
*includes up to 1 (one),</t>
  </si>
  <si>
    <t>GPS-PSR-DD4</t>
  </si>
  <si>
    <t>SMT-HC3-GEN2-AFI-SW-PL-2-2a</t>
  </si>
  <si>
    <t>Perpetual license for GigaSMART, GigaVUE-HC3 license, Application Filtering Intelligence feature. Desired Software support program must be added. This is a GEN2 license. (RESTRICTED SKU - only valid on a Gigamon-approved quote)</t>
  </si>
  <si>
    <t>SMT-HC3-GEN2-AFI-SW-PL</t>
  </si>
  <si>
    <t>GTP-ATX01-UN-2-2a</t>
  </si>
  <si>
    <t>G-TAP A Series, Always On Copper TAP, AC Power (EU, UK, NA/JP, AU plugs).</t>
  </si>
  <si>
    <t>GTP-ATX01-UN</t>
  </si>
  <si>
    <t>GTP-ASF01-UN-2-2a</t>
  </si>
  <si>
    <t>G-TAP A Series, Always On SFP/SFP+ TAP, AC Power (EU, UK, NA/JP, AU plugs).</t>
  </si>
  <si>
    <t>GTP-ASF01-UN</t>
  </si>
  <si>
    <t>VBL-50T-ADD-5GC-2-2a</t>
  </si>
  <si>
    <t>Monthly Term license for 5G Cloud software up to 50TB per day in V Series for cloud and virtual environments. See data sheet for capabilities included in the 5G Cloud package. This Add-On package requires a base VBL-xx-BN-xx Bundle, such as CoreVUE or Ne</t>
  </si>
  <si>
    <t>VBL-50T-ADD-5GC</t>
  </si>
  <si>
    <t>Cloud and Container Licenses</t>
  </si>
  <si>
    <t>VBL-250T-ADD-5GC-2-2a</t>
  </si>
  <si>
    <t>Monthly Term license for 5G Cloud software up to 250TB per day in V Series for cloud and virtual environments. See data sheet for capabilities included in the 5G Cloud package. This Add-On package requires a base VBL-xx-BN-xx Bundle, such as CoreVUE or N</t>
  </si>
  <si>
    <t>VBL-250T-ADD-5GC</t>
  </si>
  <si>
    <t>VBL-2500T-ADD-5GC-2-2a</t>
  </si>
  <si>
    <t>Monthly Term license for 5G Cloud software up to 2,500TB per day in V Series for cloud and virtual environments. See data sheet for capabilities included in the 5G Cloud package. This Add-On package requires a base VBL-xx-BN-xx Bundle, such as CoreVUE or</t>
  </si>
  <si>
    <t>VBL-2500T-ADD-5GC</t>
  </si>
  <si>
    <t>VBL-25KT-ADD-5GC-2-2a</t>
  </si>
  <si>
    <t>Monthly Term license for 5G Cloud software up to 25,000TB per day in V Series for cloud and virtual environments. See data sheet for capabilities included in the 5G Cloud package. This Add-On package requires a base VBL-xx-BN-xx Bundle, such as CoreVUE o</t>
  </si>
  <si>
    <t>VBL-25KT-ADD-5GC</t>
  </si>
  <si>
    <t>Q28-504T-2</t>
  </si>
  <si>
    <t>100G QSFP28, Singlemode ER4-lite, TAA Compliant.</t>
  </si>
  <si>
    <t>Q28-504T</t>
  </si>
  <si>
    <t>Gigamon Accessories and Spares</t>
  </si>
  <si>
    <t>Q28-508-2</t>
  </si>
  <si>
    <t>100G QSFP28, Multimode SWDM4. Not TAA Compliant.</t>
  </si>
  <si>
    <t>Q28-508</t>
  </si>
  <si>
    <t>Q28-514T-2</t>
  </si>
  <si>
    <t>100G QSFP28, Singlemode FR1. TAA Compliant.</t>
  </si>
  <si>
    <t>Q28-514T</t>
  </si>
  <si>
    <t>QSF-502T-10P-2</t>
  </si>
  <si>
    <t>10 pack of 40G QSFP+, Multimode SR4. TAA Compliant.</t>
  </si>
  <si>
    <t>QSF-502T-10P</t>
  </si>
  <si>
    <t>QSF-503T-5P-2</t>
  </si>
  <si>
    <t>5 pack of 40G QSFP+, Singlemode LR4. TAA Compliant.</t>
  </si>
  <si>
    <t>QSF-503T-5P</t>
  </si>
  <si>
    <t>SFP-532T-20P-2</t>
  </si>
  <si>
    <t>20 pack of 10Gb SFP+, Multimode SR. TAA Compliant.</t>
  </si>
  <si>
    <t>SFP-532T-20P</t>
  </si>
  <si>
    <t>SFP-533T-20P-2</t>
  </si>
  <si>
    <t>20 pack of 10Gb SFP+, Singlemode LR. TAA Compliant.</t>
  </si>
  <si>
    <t>SFP-533T-20P</t>
  </si>
  <si>
    <t>CBL-503-2</t>
  </si>
  <si>
    <t>QSFP28 to QSFP28 Direct Attach Copper cable, 3 meters. TAA Compliant.</t>
  </si>
  <si>
    <t>CBL-503</t>
  </si>
  <si>
    <t>CBL-505-2</t>
  </si>
  <si>
    <t>QSFP28 to QSFP28 Active Fiber Cable, 5 meters. TAA Compliant.</t>
  </si>
  <si>
    <t>CBL-505</t>
  </si>
  <si>
    <t>CBL-510-2</t>
  </si>
  <si>
    <t>QSFP28 to QSFP28 Active Fiber Cable, 10 meters. TAA Compliant.</t>
  </si>
  <si>
    <t>CBL-510</t>
  </si>
  <si>
    <t>CBL-550-2</t>
  </si>
  <si>
    <t>QSFP28 to QSFP28 Active Fiber Cable, 50 meters. TAA Compliant.</t>
  </si>
  <si>
    <t>CBL-550</t>
  </si>
  <si>
    <t>GPS-PSO-PHR-2-2a</t>
  </si>
  <si>
    <t>Gigamon Onsite Professional Services (Hourly Rate)
One (1) hour, regular time local working day of Onsite Gigamon Professional Services. Includes 1-time, single site travel expenses within the continental U.S. Used within 6 months of service kick-off dat</t>
  </si>
  <si>
    <t>GPS-PSO-PHR</t>
  </si>
  <si>
    <t>Professional Services</t>
  </si>
  <si>
    <t>GPS-PSR-PHR-2</t>
  </si>
  <si>
    <t>Gigamon Remote Professional Services (Hourly Rate)
One (1) hour, regular time local working day of Gigamon Professional Services. Used within 6 months of service kick-off date. Sold in minimum quantity and multiples of 8.</t>
  </si>
  <si>
    <t>GPS-PSR-PHR</t>
  </si>
  <si>
    <t>GES-LMS-ACD-2</t>
  </si>
  <si>
    <t>Single user access to an eLearning Voucher for the Gigamon Academy e-learning curriculum for a one-year term.</t>
  </si>
  <si>
    <t>GES-LMS-ACD</t>
  </si>
  <si>
    <t>GES-ILT-FD2-2</t>
  </si>
  <si>
    <t>Single seat - Gigamon Foundation II Course Public class (1-day) w/hands-on labs. In person/remote attendance.</t>
  </si>
  <si>
    <t>GES-ILT-FD2</t>
  </si>
  <si>
    <t>FAN-HC300-2-2a</t>
  </si>
  <si>
    <t>GigaVUE-HC3 Fan Assembly, each (5 required)</t>
  </si>
  <si>
    <t>FAN-HC300</t>
  </si>
  <si>
    <t>PWR-HC301-2-2a</t>
  </si>
  <si>
    <t>Power Supply Module, GigaVUE-HC3, AC (each)</t>
  </si>
  <si>
    <t>PWR-HC301</t>
  </si>
  <si>
    <t>PWR-HC302-2-2a</t>
  </si>
  <si>
    <t>Power Supply Module, GigaVUE-HC3, DC (each)</t>
  </si>
  <si>
    <t>PWR-HC302</t>
  </si>
  <si>
    <t>SMT-HC3-C08-HW-2</t>
  </si>
  <si>
    <t>Gen3 GigaSMART, GigaVUE-HC3, Module, 8x100G QSFP28 cages (includes Slicing, Masking, Source Port &amp; GigaVUE Tunneling De-Encapsulation SW).  Hardware only.  Must pair with appropriate GigaVUE-OS Software License.</t>
  </si>
  <si>
    <t>SMT-HC3-C08-HW</t>
  </si>
  <si>
    <t>SMT-HC3-C08-SW-TM-2</t>
  </si>
  <si>
    <t>GigaVUE-OS Term Software License for SMT-HC3-C08-HW. Includes Elite Software Support Program.</t>
  </si>
  <si>
    <t>SMT-HC3-C08-SW-TM</t>
  </si>
  <si>
    <t>SMT-HC3-GEN3-DD1-SW-TM-2</t>
  </si>
  <si>
    <t>Monthly subscription license for  GigaSMART, GigaVUE-HC3, De-Duplication feature license per GigaSMART module.   Includes embedded Elite Support.  Initial term must be 12 months or longer.  This is a Gen 3 license and requires SMT-HC3-C08</t>
  </si>
  <si>
    <t>SMT-HC3-GEN3-DD1-SW-TM</t>
  </si>
  <si>
    <t>SMT-HC3-GEN3-AT1-SW-TM-2</t>
  </si>
  <si>
    <t>Monthly subscription license for GigaSMART, GigaVUE-HC3 GEn3 module, Advanced Tunneling feature license. Includes embedded Elite Support. Initial term must be 12 months or longer. This is a Gen3 license and requires SMT-HC3-C08</t>
  </si>
  <si>
    <t>SMT-HC3-GEN3-AT1-SW-TM</t>
  </si>
  <si>
    <t>SMT-HC3-GEN3-APF-SW-TM-2</t>
  </si>
  <si>
    <t>Monthly subscription license for GigaSMART, GigaVUE-HC3 Gen3 module. Adaptive Packet Filtering feature license. Includes embedded Elite Support.  Initial term must be 12 months or longer.  This is a Gen 3 license and requires SMT-HC3-C08</t>
  </si>
  <si>
    <t>SMT-HC3-GEN3-APF-SW-TM</t>
  </si>
  <si>
    <t>SMT-HC3-GEN3-NF1-SW-TM-2</t>
  </si>
  <si>
    <t>Monthly subscription license for GigaSMART, GigaVUE-HC3 Gen3 module. V5, v9 NetFlow Generation feature license. Includes embedded Elite Support.  Initial term must be 12 months or longer.  This is a Gen 3 license and requires SMT-HC3-C08</t>
  </si>
  <si>
    <t>SMT-HC3-GEN3-NF1-SW-TM</t>
  </si>
  <si>
    <t>SMT-HC3-GEN3-SSL-SW-TM-2</t>
  </si>
  <si>
    <t>Monthly subscription license for GigaSMART, GigaVUE-HC3 Gen3 module, SSL Decryption for Out of Band Tools feature license. Includes embedded Elite Support.  Initial term must be 12 months or longer.  This is a Gen 3 license and requires SMT-HC3-C08</t>
  </si>
  <si>
    <t>SMT-HC3-GEN3-SSL-SW-TM</t>
  </si>
  <si>
    <t>SMT-HC3-GEN3-GTPMAX-2</t>
  </si>
  <si>
    <t>Perpetual license for  GigaSMART, GigaVUE-HC3, GTP Filtering &amp; Correlation feature license per GigaSMART module, Maximum subscribers.  Desired Software Support Program must be added.  This is a Gen 3 license.</t>
  </si>
  <si>
    <t>SMT-HC3-GEN3-GTPMAX</t>
  </si>
  <si>
    <t>SMT-HC3-GEN3-GTPMAX-SW-TM-2</t>
  </si>
  <si>
    <t>Monthly subscription license for  GigaSMART, GigaVUE-HC3, GTP Filtering &amp; Correlation feature license per GigaSMART module, Maximum subscribers.   Includes embedded Elite Support.  Initial term must be 12 months or longer.  This is a Gen 3 license.</t>
  </si>
  <si>
    <t>SMT-HC3-GEN3-GTPMAX-SW-TM</t>
  </si>
  <si>
    <t>SMT-HC3-GEN3-FVU-2</t>
  </si>
  <si>
    <t>Perpetual license for  GigaSMART, GigaVUE-HC3, FlowVUE feature license per GigaSMART module.  Desired Software Support Program must be added.  This is a Gen 3 license.</t>
  </si>
  <si>
    <t>SMT-HC3-GEN3-FVU</t>
  </si>
  <si>
    <t>SMT-HC3-GEN3-FVU-SW-TM-2</t>
  </si>
  <si>
    <t>Monthly subscription license for  GigaSMART, GigaVUE-HC3, FlowVUE feature license per GigaSMART module.   Includes embedded Elite Support.  Initial term must be 12 months or longer.  This is a Gen 3 license.</t>
  </si>
  <si>
    <t>SMT-HC3-GEN3-FVU-SW-TM</t>
  </si>
  <si>
    <t>SMT-HC3-GEN3-AFI-SW-TM-2</t>
  </si>
  <si>
    <t>Monthly subscription license for GigaSMART, GigaVUE-HC3 Gen3 module Application Filtering Intelligence feature.  Includes embedded Elite Support.  Initial term must be 12 months or longer.  This is a Gen 3 license and requires SMT-HC3-C08</t>
  </si>
  <si>
    <t>SMT-HC3-GEN3-AFI-SW-TM</t>
  </si>
  <si>
    <t>SMT-HC3-GEN3-AMI-SW-TM-2</t>
  </si>
  <si>
    <t>Monthly subscription license for GigaSMART, GigaVUE-HC3 Gen3 module Application Metadata Intelligence feature. Includes v5, v9 NetFlow Generation and protocol metadata. Includes embedded Elite Support.  Initial term must be 12 months or longer.  This is</t>
  </si>
  <si>
    <t>SMT-HC3-GEN3-AMI-SW-TM</t>
  </si>
  <si>
    <t>GIP-APP-DI-1GB-2</t>
  </si>
  <si>
    <t>Monthly license for Gigamon ThreatINSIGHT SaaS Platform with Detect and Investigate security applications for 1 Gbps of metered use. Covered by Insight Elite Policy 24x7x365 Support policy. Does not include physical sensors. Minimum initial duration: 3 y</t>
  </si>
  <si>
    <t>GIP-APP-DI-1GB</t>
  </si>
  <si>
    <t>GIP-SEN-L-HW-2</t>
  </si>
  <si>
    <t>Large-size physical sensor to deliver data to Gigamon Insight SaaS Platform. Hardware  Only.  Must pair with GIP-SEN-L-SW-TM. AHR sold separately - requires 36-month term.</t>
  </si>
  <si>
    <t>GIP-SEN-L-HW</t>
  </si>
  <si>
    <t>GIP-SEN-L-SW-TM-2</t>
  </si>
  <si>
    <t>Monthly license to forward traffic to the Gigamon ThreatINSIGHT SaaS Platform. Must pair with GIP-SEN-L-HW. Requires 36-month term.</t>
  </si>
  <si>
    <t>GIP-SEN-L-SW-TM</t>
  </si>
  <si>
    <t>GIP-SEN-S-HW-2</t>
  </si>
  <si>
    <t>Small-size physical sensor to deliver data to Gigamon Insight SaaS Platform. Hardware  Only.  Must pair with GIP-SEN-S-SW-TM. AHR sold separately - requires 36-month term.</t>
  </si>
  <si>
    <t>GIP-SEN-S-HW</t>
  </si>
  <si>
    <t>GIP-SEN-S-SW-TM-2</t>
  </si>
  <si>
    <t>Monthly license to forward traffic to the Gigamon ThreatINSIGHT SaaS Platform. Must pair with GIP-SEN-S-HW. Requires 36-month term.</t>
  </si>
  <si>
    <t>GIP-SEN-S-SW-TM</t>
  </si>
  <si>
    <t>GFM-FM000-SW-TM-2</t>
  </si>
  <si>
    <t>Monthly subscription license for GigaVUE-FM Prime Edition, manage up to 1000 Physical Visibility Fabric Nodes. Includes Elite Software Support Program.</t>
  </si>
  <si>
    <t>GFM-FM000-SW-TM</t>
  </si>
  <si>
    <t>GFM-FM005-SW-TM-2</t>
  </si>
  <si>
    <t>Monthly subscription license for GigaVUE-FM, manage up to 5 Physical Visibility Fabric Nodes. Includes Elite Software Support Program.</t>
  </si>
  <si>
    <t>GFM-FM005-SW-TM</t>
  </si>
  <si>
    <t>GFM-FM010-SW-TM-2</t>
  </si>
  <si>
    <t>Monthly subscription license for GigaVUE-FM, manage up to 10 Physical Visibility Fabric Nodes. Includes Elite Software Support Program.</t>
  </si>
  <si>
    <t>GFM-FM010-SW-TM</t>
  </si>
  <si>
    <t>GFM-HW1-FM001-HW-2</t>
  </si>
  <si>
    <t>GigaVUE-FM Hardware Appliance (dual 2.1GHz 8 core/16 thread CPU, 2 TB hard disk drive with RAID, 2x10Gb and 2x1Gb network interfaces) only. Requires GigaVUE-FM license, sold separately.</t>
  </si>
  <si>
    <t>GFM-HW1-FM001-HW</t>
  </si>
  <si>
    <t>QDD-503-2</t>
  </si>
  <si>
    <t>400G QSFP-DD, Singlemode LR4. Not TAA Compliant.</t>
  </si>
  <si>
    <t>QDD-503</t>
  </si>
  <si>
    <t>QDD-511-2</t>
  </si>
  <si>
    <t>400G QSFP-DD, Singlemode DR4. Not TAA Compliant.</t>
  </si>
  <si>
    <t>QDD-511</t>
  </si>
  <si>
    <t>QDD-512-2</t>
  </si>
  <si>
    <t>400G QSFP-DD, Singlemode DR4+. Not TAA Compliant.</t>
  </si>
  <si>
    <t>QDD-512</t>
  </si>
  <si>
    <t>QDD-514-2</t>
  </si>
  <si>
    <t>400G QSFP-DD, Singlemode FR4. Not TAA Compliant.</t>
  </si>
  <si>
    <t>QDD-514</t>
  </si>
  <si>
    <t>Q28-514-2</t>
  </si>
  <si>
    <t>100G QSFP28, Singlemode FR1. Not TAA Compliant.</t>
  </si>
  <si>
    <t>Q28-514</t>
  </si>
  <si>
    <t>CBL-602-2</t>
  </si>
  <si>
    <t>QSFP-DD to QSFP-DD Direct Attach Copper cable, 2.5 meters. Not TAA compliant</t>
  </si>
  <si>
    <t>CBL-602</t>
  </si>
  <si>
    <t>FAN-TAC40-2</t>
  </si>
  <si>
    <t>GigaVUE-TA400 Fan Assembly, each (7 required)</t>
  </si>
  <si>
    <t>FAN-TAC40</t>
  </si>
  <si>
    <t>PBK-GTA00-UN-2</t>
  </si>
  <si>
    <t>Power Brick for G-TAP A Series (AC to DC transformer), EU, UK, NA/JP, AU plugs.  Not TAA Compliant.</t>
  </si>
  <si>
    <t>PBK-GTA00-UN</t>
  </si>
  <si>
    <t>PWR-TAC41-2</t>
  </si>
  <si>
    <t>Power Supply Module, GigaVUE-TA400, AC</t>
  </si>
  <si>
    <t>PWR-TAC41</t>
  </si>
  <si>
    <t>PWR-TAC42-2</t>
  </si>
  <si>
    <t>Power Supply Module, GigaVUE-TA400, DC</t>
  </si>
  <si>
    <t>PWR-TAC42</t>
  </si>
  <si>
    <t>SMT-HC3-C08-2</t>
  </si>
  <si>
    <t>Gen3 GigaSMART, GigaVUE-HC3, Module, 8x100G QSFP28 cages (includes Slicing, Masking, Source Port &amp; GigaVUE Tunneling De-Encapsulation SW).</t>
  </si>
  <si>
    <t>SMT-HC3-C08</t>
  </si>
  <si>
    <t>SMT-HC1-GEN3-SSL-SW-TM-2</t>
  </si>
  <si>
    <t>Monthly subscription license for GigaSMART, GigaVUE-HC1 Gen3 module, SSL Decryption for Out of Band Tools feature license. Includes embedded Elite Support.  Initial term must be 12 months or longer.  This is a Gen 3 license and requires SMT-HC1-S</t>
  </si>
  <si>
    <t>SMT-HC1-GEN3-SSL-SW-TM</t>
  </si>
  <si>
    <t>SMT-HC1-GEN3-NF1-SW-TM-2</t>
  </si>
  <si>
    <t>Monthly subscription license for GigaSMART, GigaVUE-HC1 Gen3 module. V5, v9 NetFlow Generation feature license. Includes embedded Elite Support.  Initial term must be 12 months or longer.  This is a Gen 3 license and requires SMT-HC1-S</t>
  </si>
  <si>
    <t>SMT-HC1-GEN3-NF1-SW-TM</t>
  </si>
  <si>
    <t>SMT-HC1-GEN3-APF-SW-TM-2</t>
  </si>
  <si>
    <t>Monthly subscription license for GigaSMART, GigaVUE-HC1 Gen3 module. Adaptive Packet Filtering feature license. Includes embedded Elite Support.  Initial term must be 12 months or longer.  This is a Gen 3 license and requires SMT-HC1-S</t>
  </si>
  <si>
    <t>SMT-HC1-GEN3-APF-SW-TM</t>
  </si>
  <si>
    <t>SMT-HC1-GEN3-AMI-SW-TM-2</t>
  </si>
  <si>
    <t>Monthly subscription license for GigaSMART, GigaVUE-HC1 Gen3 module Application Metadata Intelligence feature. Includes v5, v9 NetFlow Generation and protocol metadata. Includes embedded Elite Support.  Initial term must be 12 months or longer.  This is</t>
  </si>
  <si>
    <t>SMT-HC1-GEN3-AMI-SW-TM</t>
  </si>
  <si>
    <t>SMT-HC1-GEN3-AFI-SW-TM-2</t>
  </si>
  <si>
    <t>Monthly subscription license for GigaSMART, GigaVUE-HC1 Gen3 module Application Filtering Intelligence feature.  Includes embedded Elite Support.  Initial term must be 12 months or longer.  This is a Gen 3 license and requires SMT-HC1-S</t>
  </si>
  <si>
    <t>SMT-HC1-GEN3-AFI-SW-TM</t>
  </si>
  <si>
    <t>CLS-TAC40-SW-TM-2</t>
  </si>
  <si>
    <t>Monthly subscription license to enable Advanced Features on GigaVUE-TA400, per node. Includes embedded Elite Support. Initial term must be 12 months or longer.</t>
  </si>
  <si>
    <t>CLS-TAC40-SW-TM</t>
  </si>
  <si>
    <t>CLS-TAC40-2</t>
  </si>
  <si>
    <t>Advanced Feature License, GigaVUE-TA400, per node</t>
  </si>
  <si>
    <t>CLS-TAC40</t>
  </si>
  <si>
    <t>IBP-TAC20-SW-TM-2</t>
  </si>
  <si>
    <t>Monthly subscription license to enable Inline Bypass License on GigaVUE-TA200, per node. Includes embedded Elite Support. Initial term must be 12 months or longer.</t>
  </si>
  <si>
    <t>IBP-TAC20-SW-TM</t>
  </si>
  <si>
    <t>IBP-TAC20-2</t>
  </si>
  <si>
    <t>Inline Bypass License, GigaVUE-TA200, per node</t>
  </si>
  <si>
    <t>IBP-TAC20</t>
  </si>
  <si>
    <t>GVS-TAC42-HW-2</t>
  </si>
  <si>
    <t>GigaVUE-TA400 node, 32 400G QSFP-DD cages, 2 power supplies, 7 fan trays, DC power; all ports enabled. Hardware only. Must Pair with appropriate GigaVUE-OS Software License</t>
  </si>
  <si>
    <t>GVS-TAC42-HW</t>
  </si>
  <si>
    <t>GVS-TAC42-2</t>
  </si>
  <si>
    <t>GigaVUE-TA400 node, 32 400G QSFP-DD cages, 2 power supplies, 7 fan trays, DC power; all ports enabled</t>
  </si>
  <si>
    <t>GVS-TAC42</t>
  </si>
  <si>
    <t>GVS-TAC41-HW-2</t>
  </si>
  <si>
    <t>GigaVUE-TA400 node, 32 400G QSFP-DD cages, 2 power supplies, 7 fan trays, AC power; all ports enabled. Hardware only. Must Pair with appropriate GigaVUE-OS Software License</t>
  </si>
  <si>
    <t>GVS-TAC41-HW</t>
  </si>
  <si>
    <t>GVS-TAC41-2</t>
  </si>
  <si>
    <t>GigaVUE-TA400 node, 32 400G QSFP-DD cages, 2 power supplies, 7 fan trays, AC power; all ports enabled</t>
  </si>
  <si>
    <t>GVS-TAC41</t>
  </si>
  <si>
    <t>GVS-TAC40-SW-TM-2</t>
  </si>
  <si>
    <t>GigaVUE-OS Term Software License for GVS-TAC-41-HW or GVS-TAC42-HW Includes Elite Software Support Program.</t>
  </si>
  <si>
    <t>GVS-TAC40-SW-TM</t>
  </si>
  <si>
    <t>GIP-APP-DI-500-2</t>
  </si>
  <si>
    <t>Gigamon Insight SaaS Platform bundle with Detect and Investigate security applications for 500 Mbps of metered use per month. Does not include physical sensors. Covered by Insight Sensor Elite 24x7x365 Support policy, price of which is included in the li</t>
  </si>
  <si>
    <t>GIP-APP-DI-500</t>
  </si>
  <si>
    <t>GIP-APP-DI-7DAY-2</t>
  </si>
  <si>
    <t>Gigamon ThreatINSIGHT SaaS Platform with Detect and Investigate security applications for 1 Gbps of metered use and 7-day retention. Does not include physical sensors. Covered by Insight Sensor Elite 24x7x365 Support policy, price of which is included in</t>
  </si>
  <si>
    <t>GIP-APP-DI-7DAY</t>
  </si>
  <si>
    <t>GIP-APP-DI-7TO30-2</t>
  </si>
  <si>
    <t>Upgrade SKU for ThreatINSIGHT SaaS Platform to upgrade from 7-day retention to 30-day retention. Requires GIP-APP-DI-7DAY as a pre-requisite. Minimum duration: 1 year</t>
  </si>
  <si>
    <t>GIP-APP-DI-7TO30</t>
  </si>
  <si>
    <t>GIP-MSP-DI-500-2</t>
  </si>
  <si>
    <t>Gigamon ThreatINSIGHT SaaS Platform with Detect and Investigate security applications for 500 Mbps of metered use bandwidth per month by MSPs. Does not include physical sensors. Covered by Insight Sensor Elite 24x7x365 Support policy, price of which is i</t>
  </si>
  <si>
    <t>GIP-MSP-DI-500</t>
  </si>
  <si>
    <t>IBP-TAX20-2</t>
  </si>
  <si>
    <t>Inline Bypass License, GigaVUE-TA25, per node</t>
  </si>
  <si>
    <t>IBP-TAX20</t>
  </si>
  <si>
    <t>IBP-TAX20-SW-TM-2</t>
  </si>
  <si>
    <t>Monthly subscription license to enable Inline Bypass License on GigaVUE-TA25, per node. Includes embedded Elite Support. Initial term must be 12 months or longer.</t>
  </si>
  <si>
    <t>IBP-TAX20-SW-TM</t>
  </si>
  <si>
    <t>QSF-508-2</t>
  </si>
  <si>
    <t>40G QSFP+, Multimode SWDM4. Not TAA Compliant.</t>
  </si>
  <si>
    <t>QSF-508</t>
  </si>
  <si>
    <t>SMT-HC1-BN-CORE-2</t>
  </si>
  <si>
    <t>CoreVUE GigaSMART software bundle for GigaVUE-HC1. Capabilities included: Advanced Tunneling, Header Stripping, Slicing, Masking, Advanced Load Balancing, Source Port Labeling. Includes bundled Elite-Plus Support</t>
  </si>
  <si>
    <t>SMT-HC1-BN-CORE</t>
  </si>
  <si>
    <t>SMT-HC1-BN-NV-2</t>
  </si>
  <si>
    <t>NetVUE GigaSMART software bundle for GigaVUE-HC1. Capabilities included: All CoreVUE GigaSMART capabilities, De-duplication, NetFlow Generation. Includes bundled Elite-Plus Support</t>
  </si>
  <si>
    <t>SMT-HC1-BN-NV</t>
  </si>
  <si>
    <t>SMT-HC1-BN-NVP-2</t>
  </si>
  <si>
    <t>NetVUE Plus GigaSMART software bundle for GigaVUE-HC1. Capabilities included: All NetVUE GigaSMART capabilities, Application Filtering Intelligence, Adaptive Packet Filtering, Advanced Flow Slicing.  Includes bundled Elite-Plus Support</t>
  </si>
  <si>
    <t>SMT-HC1-BN-NVP</t>
  </si>
  <si>
    <t>SMT-HC1-BN-SV-2</t>
  </si>
  <si>
    <t>SecureVUE GigaSMART software bundle for GigaVUE-HC1. Capabilities included: All CoreVUE GigaSMART capabilities, De-duplication, NetFlow Generation, Adaptive Packet Filtering. Includes bundled Elite-Plus Support</t>
  </si>
  <si>
    <t>SMT-HC1-BN-SV</t>
  </si>
  <si>
    <t>SMT-HC1-BN-SVP-2</t>
  </si>
  <si>
    <t>SecureVUE Plus GigaSMART software bundle for GigaVUE-HC1. Capabilities included: All SecureVUE GigaSMART capabilities, SSL Decryption (Inline + Out-of-band), Application Filtering Intelligence, Application Metadata Intelligence. Includes bundled Elite-Pl</t>
  </si>
  <si>
    <t>SMT-HC1-BN-SVP</t>
  </si>
  <si>
    <t>SMT-HC1-GEN3-AFI-2</t>
  </si>
  <si>
    <t>Perpetual license for GigaSMART, GigaVUE-HC1 Gen3 module, Application Filtering Intelligence feature license. Desired Software Support must be added. This is a Gen 3 license and requires SMT-HC1-S</t>
  </si>
  <si>
    <t>SMT-HC1-GEN3-AFI</t>
  </si>
  <si>
    <t>SMT-HC1-GEN3-AMI-2</t>
  </si>
  <si>
    <t>Perpetual license for GigaSMART, GigaVUE-HC1 Gen3 module, Application Metadata Intelligence feature license. Includes v5, v9 NetFlow and protocol metadata. Desired Software Support must be added. This is a Gen 3 license and requires SMT-HC1-S</t>
  </si>
  <si>
    <t>SMT-HC1-GEN3-AMI</t>
  </si>
  <si>
    <t>SMT-HC1-GEN3-APF-2</t>
  </si>
  <si>
    <t>Perpetual license for GigaSMART, GigaVUE-HC1 Gen3 module, Adaptive Packet Filtering feature license. Desired Software Support must be added. This is a Gen 3 license and requires SMT-HC1-S</t>
  </si>
  <si>
    <t>SMT-HC1-GEN3-APF</t>
  </si>
  <si>
    <t>SMT-HC1-GEN3-NF1-2</t>
  </si>
  <si>
    <t>Perpetual license for GigaSMART, GigaVUE-HC1 Gen3 module, v5,v9 NetFlow feature license. Desired Software Support must be added. This is a Gen 3 license and requires SMT-HC1-S</t>
  </si>
  <si>
    <t>SMT-HC1-GEN3-NF1</t>
  </si>
  <si>
    <t>SMT-HC1-GEN3-SSL-2</t>
  </si>
  <si>
    <t>Perpetual license for GigaSMART, GigaVUE-HC1 Gen3 module, SSL Decryption for Out of Band Tools feature license. Desired Software Support must be added. This is a Gen 3 license and requires SMT-HC1-S</t>
  </si>
  <si>
    <t>SMT-HC1-GEN3-SSL</t>
  </si>
  <si>
    <t>SMT-HC1-UPGBN-NV-2</t>
  </si>
  <si>
    <t>Upgrade SKU from CoreVUE to NetVUE GigaSMART software bundle for GigaVUE-HC1. Includes bundled Elite-Plus Support</t>
  </si>
  <si>
    <t>SMT-HC1-UPGBN-NV</t>
  </si>
  <si>
    <t>SMT-HC1-UPGBN-NVP-2</t>
  </si>
  <si>
    <t>Upgrade SKU from NetVUE to NetVUE Plus GigaSMART software bundle for GigaVUE-HC1. Includes bundled Elite-Plus Support?</t>
  </si>
  <si>
    <t>SMT-HC1-UPGBN-NVP</t>
  </si>
  <si>
    <t>SMT-HC1-UPGBN-SV-2</t>
  </si>
  <si>
    <t>Upgrade SKU from CoreVUE to SecureVUE GigaSMART software bundle for GigaVUE-HC1. Includes bundled Elite-Plus Support</t>
  </si>
  <si>
    <t>SMT-HC1-UPGBN-SV</t>
  </si>
  <si>
    <t>SMT-HC1-UPGBN-SVP-2</t>
  </si>
  <si>
    <t>Upgrade SKU from SecureVUE to SecureVUE Plus GigaSMART software bundle for GigaVUE-HC1. Includes bundled Elite-Plus Support?</t>
  </si>
  <si>
    <t>SMT-HC1-UPGBN-SVP</t>
  </si>
  <si>
    <t>SMT-HC2-BN-CORE-2</t>
  </si>
  <si>
    <t>CoreVUE Gen2 GigaSMART software bundle for GigaVUE-HC2. Requires SMT-HC0-Q02X08. Capabilities included: Advanced Tunneling, Header Stripping, Slicing, Masking, Advanced Load Balancing, Source Port Labeling. Includes bundled Elite-Plus Support</t>
  </si>
  <si>
    <t>SMT-HC2-BN-CORE</t>
  </si>
  <si>
    <t>SMT-HC2-BN-MV-2</t>
  </si>
  <si>
    <t>MobileVUE Gen2 GigaSMART software bundle for GigaVUE-HC2. Requires SMT-HC0-Q02X08. Capabilities included: All CoreVUE GigaSMART capabilities, GTP Correlation, FlowVUE, 5G Correlation, CUPS and SUPI-based load balancing. Includes bundled Elite-Plus Suppor</t>
  </si>
  <si>
    <t>SMT-HC2-BN-MV</t>
  </si>
  <si>
    <t>SMT-HC2-BN-NV-2</t>
  </si>
  <si>
    <t>NetVUE Gen2 GigaSMART software bundle for GigaVUE-HC2. Requires SMT-HC0-Q02X08. Capabilities included: All CoreVUE GigaSMART capabilities, De-duplication, NetFlow Generation. Includes bundled Elite-Plus Support</t>
  </si>
  <si>
    <t>SMT-HC2-BN-NV</t>
  </si>
  <si>
    <t>SMT-HC2-BN-NVP-2</t>
  </si>
  <si>
    <t>NetVUE Plus Gen2 GigaSMART software bundle for GigaVUE-HC2. Requires SMT-HC0-Q02X08. Capabilities included: All NetVUE GigaSMART capabilities, Application Filtering Intelligence, Adaptive Packet Filtering, Advanced Flow Slicing. Includes bundled Elite-Pl</t>
  </si>
  <si>
    <t>SMT-HC2-BN-NVP</t>
  </si>
  <si>
    <t>SMT-HC2-BN-SV-2</t>
  </si>
  <si>
    <t>SecureVUE Gen2 GigaSMART software bundle for GigaVUE-HC2. Requires SMT-HC0-Q02X08. Capabilities included: All CoreVUE GigaSMART capabilities, De-duplication, NetFlow Generation, Adaptive Packet Filtering. Includes bundled Elite-Plus Support</t>
  </si>
  <si>
    <t>SMT-HC2-BN-SV</t>
  </si>
  <si>
    <t>SMT-HC2-BN-SVP-2</t>
  </si>
  <si>
    <t>SecureVUE Plus Gen2 GigaSMART software bundle for GigaVUE-HC2. Requires SMT-HC0-Q02X08. Capabilities included: All SecureVUE GigaSMART capabilities, SSL Decryption (Inline + Out-of-band), Application Filtering Intelligence, Application Metadata Intellige</t>
  </si>
  <si>
    <t>SMT-HC2-BN-SVP</t>
  </si>
  <si>
    <t>SMT-HC2-UPGBN-MV-2</t>
  </si>
  <si>
    <t>Upgrade SKU from CoreVUE to MobileVUE GigaSMART software bundle for GigaVUE-HC2. Requires SMT-HC0-Q02X08. Includes bundled Elite-Plus Support</t>
  </si>
  <si>
    <t>SMT-HC2-UPGBN-MV</t>
  </si>
  <si>
    <t>SMT-HC2-UPGBN-NV-2</t>
  </si>
  <si>
    <t>Upgrade SKU from CoreVUE to NetVUE GigaSMART software bundle for GigaVUE-HC2. Requires SMT-HC0-Q02X08. Includes bundled Elite-Plus Support</t>
  </si>
  <si>
    <t>SMT-HC2-UPGBN-NV</t>
  </si>
  <si>
    <t>SMT-HC2-UPGBN-NVP-2</t>
  </si>
  <si>
    <t>GigaSMART Bundle Upgrade, NetVUE to NetVUE Plus (1 Month) – GigaVUE-HC2 (12-month Minimum); *Includes bundled Elite-Plus Support</t>
  </si>
  <si>
    <t>SMT-HC2-UPGBN-NVP</t>
  </si>
  <si>
    <t>SMT-HC2-UPGBN-SV-2</t>
  </si>
  <si>
    <t>Upgrade SKU from CoreVUE to SecureVUE GigaSMART software bundle for GigaVUE-HC2. Requires SMT-HC0-Q02X08. Includes bundled Elite-Plus Support</t>
  </si>
  <si>
    <t>SMT-HC2-UPGBN-SV</t>
  </si>
  <si>
    <t>SMT-HC2-UPGBN-SVP-2</t>
  </si>
  <si>
    <t>GigaSMART Bundle Upgrade, SecureVUE to SecureVUE Plus (1 Month) – GigaVUE-HC2 (12-month Minimum); *Includes bundled Elite-Plus Support</t>
  </si>
  <si>
    <t>SMT-HC2-UPGBN-SVP</t>
  </si>
  <si>
    <t>SMT-HC3-BN-CORE-2</t>
  </si>
  <si>
    <t>CoreVUE GigaSMART software bundle for GigaVUE-HC3. Capabilities included: Advanced Tunneling, Header Stripping, Slicing, Masking, Advanced Load Balancing, Source Port Labeling. Includes bundled Elite-Plus Support</t>
  </si>
  <si>
    <t>SMT-HC3-BN-CORE</t>
  </si>
  <si>
    <t>SMT-HC3-BN-MV-2</t>
  </si>
  <si>
    <t>MobileVUE GigaSMART software bundle for GigaVUE-HC3. Capabilities included: All CoreVUE GigaSMART capabilities, GTP Correlation, FlowVUE, 5G Correlation, CUPS and SUPI-based load balancing. Includes bundled Elite-Plus Support</t>
  </si>
  <si>
    <t>SMT-HC3-BN-MV</t>
  </si>
  <si>
    <t>SMT-HC3-BN-NV-2</t>
  </si>
  <si>
    <t>NetVUE GigaSMART software bundle for GigaVUE-HC3. Capabilities included: All CoreVUE GigaSMART capabilities, De-duplication, NetFlow Generation. Includes bundled Elite-Plus Support</t>
  </si>
  <si>
    <t>SMT-HC3-BN-NV</t>
  </si>
  <si>
    <t>SMT-HC3-BN-NVP-2</t>
  </si>
  <si>
    <t>NetVUE Plus GigaSMART software bundle for GigaVUE-HC3. Capabilities included: All NetVUE GigaSMART capabilities, Application Filtering Intelligence, Adaptive Packet Filtering, Advanced Flow Slicing. Includes bundled Elite-Plus Support</t>
  </si>
  <si>
    <t>SMT-HC3-BN-NVP</t>
  </si>
  <si>
    <t>SMT-HC3-BN-SV-2</t>
  </si>
  <si>
    <t>SecureVUE GigaSMART software bundle for GigaVUE-HC3. Capabilities included: All CoreVUE GigaSMART capabilities, De-duplication, NetFlow Generation, Adaptive Packet Filtering. Includes bundled Elite-Plus Support</t>
  </si>
  <si>
    <t>SMT-HC3-BN-SV</t>
  </si>
  <si>
    <t>SMT-HC3-BN-SVP-2</t>
  </si>
  <si>
    <t>SecureVUE Plus GigaSMART software bundle for GigaVUE-HC3. Capabilities included: All SecureVUE GigaSMART capabilities, SSL Decryption (Inline + Out-of-band), Application Filtering Intelligence, Application Metadata Intelligence. Includes bundled Elite-Pl</t>
  </si>
  <si>
    <t>SMT-HC3-BN-SVP</t>
  </si>
  <si>
    <t>SMT-HC3-GEN3-AFI-2</t>
  </si>
  <si>
    <t>Perpetual license for GigaSMART, GigaVUE-HC3 Gen3 module, Application Filtering Intelligence feature license. Desired Software Support must be added. This is a Gen 3 license and requires SMT-HC3-C08</t>
  </si>
  <si>
    <t>SMT-HC3-GEN3-AFI</t>
  </si>
  <si>
    <t>SMT-HC3-GEN3-AMI-2</t>
  </si>
  <si>
    <t>Perpetual license for GigaSMART, GigaVUE-HC3 Gen3 module, Application Metadata Intelligence feature license. Includes v5, v9 NetFlow and protocol metadata. Desired Software Support must be added. This is a Gen 3 license and requires SMT-HC3-C08</t>
  </si>
  <si>
    <t>SMT-HC3-GEN3-AMI</t>
  </si>
  <si>
    <t>SMT-HC3-GEN3-APF-2</t>
  </si>
  <si>
    <t>Perpetual license for GigaSMART, GigaVUE-HC3 Gen3 module, Adaptive Packet Filtering feature license. Desired Software Support must be added. This is a Gen 3 license and requires SMT-HC3-C08</t>
  </si>
  <si>
    <t>SMT-HC3-GEN3-APF</t>
  </si>
  <si>
    <t>SMT-HC3-GEN3-AT1-2</t>
  </si>
  <si>
    <t>Perpetual license for GigaSMART, GigaVUE-HC3 Gen3 module, Advanced Tunneling feature license. Desired Software Support must be added. This is a Gen3 license and requires SMT-HC3-C08</t>
  </si>
  <si>
    <t>SMT-HC3-GEN3-AT1</t>
  </si>
  <si>
    <t>SMT-HC3-GEN3-DD1-2</t>
  </si>
  <si>
    <t>Perpetual license for GigaSMART, GigaVUE-HC3 Gen3 module, De-Duplication feature license. Desired Software Support must be added. This is a Gen 3 license and requires SMT-HC3-C08</t>
  </si>
  <si>
    <t>SMT-HC3-GEN3-DD1</t>
  </si>
  <si>
    <t>SMT-HC3-GEN3-NF1-2</t>
  </si>
  <si>
    <t>Perpetual license for GigaSMART, GigaVUE-HC3 Gen3 module, v5,v9 NetFlow feature license. Desired Software Support must be added. This is a Gen 3 license and requires SMT-HC3-C08</t>
  </si>
  <si>
    <t>SMT-HC3-GEN3-NF1</t>
  </si>
  <si>
    <t>SMT-HC3-GEN3-SSL-2</t>
  </si>
  <si>
    <t>Perpetual license for GigaSMART, GigaVUE-HC3 Gen3 module, SSL Decryption for Out of Band Tools feature license. Desired Software Support must be added. This is a Gen 3 license and requires SMT-HC3-C08</t>
  </si>
  <si>
    <t>SMT-HC3-GEN3-SSL</t>
  </si>
  <si>
    <t>SMT-HC3-UPGBN-MV-2</t>
  </si>
  <si>
    <t>Upgrade SKU from CoreVUE to MobileVUE GigaSMART software bundle for GigaVUE-HC3. Includes bundled Elite-Plus Support</t>
  </si>
  <si>
    <t>SMT-HC3-UPGBN-MV</t>
  </si>
  <si>
    <t>SMT-HC3-UPGBN-NV-2</t>
  </si>
  <si>
    <t>Upgrade SKU from CoreVUE to NetVUE GigaSMART software bundle for GigaVUE-HC3. Includes bundled Elite-Plus Support</t>
  </si>
  <si>
    <t>SMT-HC3-UPGBN-NV</t>
  </si>
  <si>
    <t>SMT-HC3-UPGBN-NVP-2</t>
  </si>
  <si>
    <t>Upgrade SKU from NetVUE to NetVUE Plus GigaSMART software bundle for GigaVUE-HC3. Includes bundled Elite-Plus Support?</t>
  </si>
  <si>
    <t>SMT-HC3-UPGBN-NVP</t>
  </si>
  <si>
    <t>SMT-HC3-UPGBN-SV-2</t>
  </si>
  <si>
    <t>Upgrade SKU from CoreVUE to SecureVUE GigaSMART software bundle for GigaVUE-HC3. Includes bundled Elite-Plus Support</t>
  </si>
  <si>
    <t>SMT-HC3-UPGBN-SV</t>
  </si>
  <si>
    <t>SMT-HC3-UPGBN-SVP-2</t>
  </si>
  <si>
    <t>Upgrade SKU from SecureVUE to SecureVUE Plus GigaSMART software bundle for GigaVUE-HC3. Includes bundled Elite-Plus Support?</t>
  </si>
  <si>
    <t>SMT-HC3-UPGBN-SVP</t>
  </si>
  <si>
    <t>VBL-2500T-BN-SVP-2</t>
  </si>
  <si>
    <t>Monthly Term license for SecureVUE Plus software up to 2,500TB per day in V Series for cloud and virtual environments. Capabilities included: NetVUE for V Series, App Metadata Intelligence, App Filter Intelligence. Min Term is 12 months. Includes bundled</t>
  </si>
  <si>
    <t>VBL-2500T-BN-SVP</t>
  </si>
  <si>
    <t>VBL-250T-BN-SVP-2</t>
  </si>
  <si>
    <t>Monthly Term license for SecureVUE Plus software up to 250TB per day in V Series for cloud and virtual environments. Capabilities included: NetVUE for V Series, App Metadata Intelligence, App Filter Intelligence. Min Term is 12 months. Includes bundled E</t>
  </si>
  <si>
    <t>VBL-250T-BN-SVP</t>
  </si>
  <si>
    <t>VBL-25KT-BN-SVP-2</t>
  </si>
  <si>
    <t>Monthly Term license for SecureVUE Plus software up to 25,000TB per day in V Series for cloud and virtual environments. Capabilities included: NetVUE for V Series, App Metadata Intelligence, App Filter Intelligence. Min Term is 12 months. Includes bundle</t>
  </si>
  <si>
    <t>VBL-25KT-BN-SVP</t>
  </si>
  <si>
    <t>VBL-50T-BN-SVP-2</t>
  </si>
  <si>
    <t>Monthly Term license for SecureVUE Plus software up to 50TB per day in V Series for cloud and virtual environments. Capabilities included: NetVUE for V Series, App Metadata Intelligence, App Filter Intelligence. Min Term is 12 months. Includes bundled El</t>
  </si>
  <si>
    <t>VBL-50T-BN-SVP</t>
  </si>
  <si>
    <t>GSP-FYS-HW-RTF-PMR-2</t>
  </si>
  <si>
    <t>Gigamon annual R&amp;R HW Replacement Program with PREMIER Level Partners, purchased with product or within 1 year of original purchase of product</t>
  </si>
  <si>
    <t>GSP-FYS-HW-RTF-PMR</t>
  </si>
  <si>
    <t>GSP-FYS-HW-RTF-PRO-2</t>
  </si>
  <si>
    <t>Gigamon annual R&amp;R HW Replacement Program with PRO Level Partners, purchased with product or within 1 year of original purchase of product</t>
  </si>
  <si>
    <t>GSP-FYS-HW-RTF-PRO</t>
  </si>
  <si>
    <t>GSS-FYS-HW-RTF-GMO-2</t>
  </si>
  <si>
    <t>Gigamon annual R&amp;R HW Replacement Program with direct Gigamon support, purchased with product or within 1 year of original purchase of product</t>
  </si>
  <si>
    <t>GSS-FYS-HW-RTF-GMO</t>
  </si>
  <si>
    <t>GSP-FYS-HW-AHR-PMR-2</t>
  </si>
  <si>
    <t>Gigamon annual AHR HW Replacement Program with PREMIER Level Partners, purchased with product or within 1 year of original purchase of product</t>
  </si>
  <si>
    <t>GSP-FYS-HW-AHR-PMR</t>
  </si>
  <si>
    <t>GSP-FYS-HW-AHR-PRO-2</t>
  </si>
  <si>
    <t>Gigamon annual AHR HW Replacement Program with PRO Level Partners, purchased with product or within 1 year of original purchase of product</t>
  </si>
  <si>
    <t>GSP-FYS-HW-AHR-PRO</t>
  </si>
  <si>
    <t>GSP-FYS-HW-4EX-PMR-2</t>
  </si>
  <si>
    <t>Gigamon annual 4HR Expedited HW Replacement Program with PREMIER Level Partners, purchased with product or within 1 year of original purchase of product</t>
  </si>
  <si>
    <t>GSP-FYS-HW-4EX-PMR</t>
  </si>
  <si>
    <t>GSP-FYS-HW-4EX-PRO-2</t>
  </si>
  <si>
    <t>Gigamon annual 4HR Expedited HW Replacement Program with PRO Level Partners, purchased with product or within 1 year of original purchase of product</t>
  </si>
  <si>
    <t>GSP-FYS-HW-4EX-PRO</t>
  </si>
  <si>
    <t>GSS-FYS-HW-4EX-GMO-2</t>
  </si>
  <si>
    <t>Gigamon annual 4HR Expedited HW Replacement Program with direct Gigamon support, purchased with product or within 1 year of original purchase of product</t>
  </si>
  <si>
    <t>GSS-FYS-HW-4EX-GMO</t>
  </si>
  <si>
    <t>GSP-RNL-HW-RTF-PMR-2</t>
  </si>
  <si>
    <t>Renewal Gigamon annual R&amp;R HW Replacement Program with PREMIER Level Partners, purchased &gt;1 year post product ship date</t>
  </si>
  <si>
    <t>GSP-RNL-HW-RTF-PMR</t>
  </si>
  <si>
    <t>GSP-RNL-HW-RTF-PRO-2</t>
  </si>
  <si>
    <t>Renewal Gigamon annual R&amp;R HW Replacement Program with PRO Level Partners, purchased &gt;1 year post product ship date</t>
  </si>
  <si>
    <t>GSP-RNL-HW-RTF-PRO</t>
  </si>
  <si>
    <t>GSS-RNL-HW-RTF-GMO-2</t>
  </si>
  <si>
    <t>Renewal Gigamon annual R&amp;R HW Replacement Program with direct Gigamon support, purchased &gt;1 year post product ship date</t>
  </si>
  <si>
    <t>GSS-RNL-HW-RTF-GMO</t>
  </si>
  <si>
    <t>GSP-RNL-HW-AHR-PMR-2</t>
  </si>
  <si>
    <t>Renewal Gigamon annual AHR HW Replacement Program with PREMIER Level Partners, purchased &gt;1 year post product ship date</t>
  </si>
  <si>
    <t>GSP-RNL-HW-AHR-PMR</t>
  </si>
  <si>
    <t>GSP-RNL-HW-AHR-PRO-2</t>
  </si>
  <si>
    <t>Renewal Gigamon annual AHR HW Replacement Program with PRO Level Partners, purchased &gt;1 year post product ship date</t>
  </si>
  <si>
    <t>GSP-RNL-HW-AHR-PRO</t>
  </si>
  <si>
    <t>GSS-RNL-HW-AHR-GMO-2</t>
  </si>
  <si>
    <t>Renewal Gigamon annual AHR HW Replacement Program with direct Gigamon support, purchased &gt;1 year post product ship date</t>
  </si>
  <si>
    <t>GSS-RNL-HW-AHR-GMO</t>
  </si>
  <si>
    <t>GSP-RNL-HW-4EX-PMR-2</t>
  </si>
  <si>
    <t>Renewal Gigamon annual 4HR Expedited HW Replacement Program with PREMIER Level Partners, purchased &gt;1 year post product ship date</t>
  </si>
  <si>
    <t>GSP-RNL-HW-4EX-PMR</t>
  </si>
  <si>
    <t>GSP-RNL-HW-4EX-PRO-2</t>
  </si>
  <si>
    <t>Renewal Gigamon annual 4HR Expedited HW Replacement Program with PRO Level Partners, purchased &gt;1 year post product ship date</t>
  </si>
  <si>
    <t>GSP-RNL-HW-4EX-PRO</t>
  </si>
  <si>
    <t>GSS-RNL-HW-4EX-GMO-2</t>
  </si>
  <si>
    <t>Renewal Gigamon annual 4HR Expedited HW Replacement Program with direct Gigamon support, purchased &gt;1 year post product ship date</t>
  </si>
  <si>
    <t>GSS-RNL-HW-4EX-GMO</t>
  </si>
  <si>
    <t>GSP-UPG-HW-AHR-PMR-2</t>
  </si>
  <si>
    <t>Upgrade of Gigamon HW Replacement Program from R&amp;R to AHR with PREMIER Level Partners, with Term through existing R&amp;R contract end date</t>
  </si>
  <si>
    <t>GSP-UPG-HW-AHR-PMR</t>
  </si>
  <si>
    <t>GSP-UPG-HW-AHR-PRO-2</t>
  </si>
  <si>
    <t>Upgrade of Gigamon HW Replacement Program from R&amp;R to AHR with PRO Level Partners, with Term through existing R&amp;R contract end date</t>
  </si>
  <si>
    <t>GSP-UPG-HW-AHR-PRO</t>
  </si>
  <si>
    <t>GSS-UPG-HW-AHR-GMO-2</t>
  </si>
  <si>
    <t>Upgrade of Gigamon HW Replacement Program from R&amp;R to AHR with direct Gigamon support, with Term through existing R&amp;R contract end date</t>
  </si>
  <si>
    <t>GSS-UPG-HW-AHR-GMO</t>
  </si>
  <si>
    <t>GSP-UPG-HW-4EX-PMR-2</t>
  </si>
  <si>
    <t>Upgrade of Gigamon HW Replacement Program from AHR to 4HR expedited with PREMIER Level Partners, with Term through existing NBD contract end date</t>
  </si>
  <si>
    <t>GSP-UPG-HW-4EX-PMR</t>
  </si>
  <si>
    <t>GSP-UPG-HW-4EX-PRO-2</t>
  </si>
  <si>
    <t>Upgrade of Gigamon HW Replacement Program from AHR to 4HR expedited with PRO Level Partners, with Term through existing NBD contract end date</t>
  </si>
  <si>
    <t>GSP-UPG-HW-4EX-PRO</t>
  </si>
  <si>
    <t>GSS-UPG-HW-4EX-GMO-2</t>
  </si>
  <si>
    <t>Upgrade of Gigamon HW Replacement Program from AHR to 4HR expedited with direct Gigamon support, with Term through existing NBD contract end date</t>
  </si>
  <si>
    <t>GSS-UPG-HW-4EX-GMO</t>
  </si>
  <si>
    <t>QSB-522-2</t>
  </si>
  <si>
    <t>100G QSFP28 BiDi, Multimode SR, Full Duplex. Not TAA Compliant. Compatible with GVOS version 5.13.03 only.</t>
  </si>
  <si>
    <t>QSB-522</t>
  </si>
  <si>
    <t>SFP-505T-2</t>
  </si>
  <si>
    <t>100M SFP, Multimode FX. TAA Compliant.</t>
  </si>
  <si>
    <t>SFP-505T</t>
  </si>
  <si>
    <t>SMT-HC1-GEN2-AFI-SW-PL-2</t>
  </si>
  <si>
    <t>Perpetual license for GigaSMART, GigaVUE-HC1 license, Application Filtering Intelligence feature. Desired Software support program must be added. This is a GEN2 license. (RESTRICTED SKU - only valid on a Gigamon-approved quote)</t>
  </si>
  <si>
    <t>SMT-HC1-GEN2-AFI-SW-PL</t>
  </si>
  <si>
    <t>SMT-HC1-GEN2-AFS-SW-PL-2</t>
  </si>
  <si>
    <t>Perpetual license for GigaSMART, GigaVUE-HC1 license, Advanced Flow Slicing. Desired Software support program must be added. This is a GEN2 license. (RESTRICTED SKU - only valid on a Gigamon-approved quote)</t>
  </si>
  <si>
    <t>SMT-HC1-GEN2-AFS-SW-PL</t>
  </si>
  <si>
    <t>SMT-HC1-GEN2-AMI-SW-PL-2</t>
  </si>
  <si>
    <t>Perpetual license for GigaSMART, GigaVUE-HC1 license, Application Metadata Intelligence feature. Desired Software support program must be added. This is a GEN2 license. (RESTRICTED SKU - only valid on a Gigamon-approved quote)</t>
  </si>
  <si>
    <t>SMT-HC1-GEN2-AMI-SW-PL</t>
  </si>
  <si>
    <t>SMT-HC2-GEN2-AFI-SW-PL-2</t>
  </si>
  <si>
    <t>Perpetual license for GigaSMART, GigaVUE-HC2 license, Application Filtering Intelligence feature. Desired Software support program must be added. This is a GEN2 license. (RESTRICTED SKU - only valid on a Gigamon-approved quote)</t>
  </si>
  <si>
    <t>SMT-HC2-GEN2-AFI-SW-PL</t>
  </si>
  <si>
    <t>SMT-HC2-GEN2-AFS-SW-PL-2</t>
  </si>
  <si>
    <t>Perpetual license for GigaSMART, GigaVUE-HC2 license, Advanced Flow Slicing. Desired Software support program must be added. This is a GEN2 license. (RESTRICTED SKU - only valid on a Gigamon-approved quote)</t>
  </si>
  <si>
    <t>SMT-HC2-GEN2-AFS-SW-PL</t>
  </si>
  <si>
    <t>SMT-HC2-GEN2-AMI-SW-PL-2</t>
  </si>
  <si>
    <t>Perpetual license for GigaSMART, GigaVUE-HC2 license, Application Metadata Intelligence feature. Desired Software support program must be added. This is a GEN2 license. (RESTRICTED SKU - only valid on a Gigamon-approved quote)</t>
  </si>
  <si>
    <t>SMT-HC2-GEN2-AMI-SW-PL</t>
  </si>
  <si>
    <t>SMT-HC2-GEN2-VDR-SW-PL-2</t>
  </si>
  <si>
    <t>Perpetual license for GigaSMART, GigaVUE-HC2 license, Video Data Record Generation for Nokia AVA Platform. Desired Software support program must be added. This is a GEN2 license. (RESTRICTED SKU - only valid on a Gigamon-approved quote)</t>
  </si>
  <si>
    <t>SMT-HC2-GEN2-VDR-SW-PL</t>
  </si>
  <si>
    <t>SMT-HC3-GEN2-AFS-SW-PL-2</t>
  </si>
  <si>
    <t>Perpetual license for GigaSMART, GigaVUE-HC3 license, Advanced Flow Slicing. Desired Software support program must be added. This is a GEN2 license. (RESTRICTED SKU - only valid on a Gigamon-approved quote)</t>
  </si>
  <si>
    <t>SMT-HC3-GEN2-AFS-SW-PL</t>
  </si>
  <si>
    <t>SMT-HC3-GEN2-AMI-SW-PL-2</t>
  </si>
  <si>
    <t>Perpetual license for GigaSMART, GigaVUE-HC3 license, Application Metadata Intelligence feature. Desired Software support program must be added. This is a GEN2 license. (RESTRICTED SKU - only valid on a Gigamon-approved quote)</t>
  </si>
  <si>
    <t>SMT-HC3-GEN2-AMI-SW-PL</t>
  </si>
  <si>
    <t>SMT-HC3-GEN2-VDR-SW-PL-2</t>
  </si>
  <si>
    <t>Perpetual license for GigaSMART, GigaVUE-HC3 license, Video Data Record Generation for Nokia AVA Platform. Desired Software support program must be added. This is a GEN2 license. (RESTRICTED SKU - only valid on a Gigamon-approved quote)</t>
  </si>
  <si>
    <t>SMT-HC3-GEN2-VDR-SW-PL</t>
  </si>
  <si>
    <t>VBL-2500T-ADD-5GC-PL-2</t>
  </si>
  <si>
    <t>For Telecommunications Service Providers Only. Perpetual license for 5G Cloud software up to 2,500TB per day in V Series for cloud and virtual environments. See data sheet for capabilities included in the 5G Cloud package. This Add-On package requires a</t>
  </si>
  <si>
    <t>VBL-2500T-ADD-5GC-PL</t>
  </si>
  <si>
    <t>VBL-2500T-BN-CORE-PL-2</t>
  </si>
  <si>
    <t>For Telecommunications Service Providers Only. Perpetual license for CoreVUE software up to 2,500TB per day in V Series for cloud and virtual environments. Capabilities included: Advanced Tunneling, Slicing, Masking, Advanced Load Balancing. Requires Eli</t>
  </si>
  <si>
    <t>VBL-2500T-BN-CORE-PL</t>
  </si>
  <si>
    <t>VBL-2500T-BN-NV-PL-2</t>
  </si>
  <si>
    <t>For Telecommunications Service Providers Only. Perpetual license for NetVUE software up to 2,500TB per day in V Series for cloud and virtual environments. Capabilities included: CoreVUE for V Series, De-duplication, NetFlow. Requires Elite Software Suppo</t>
  </si>
  <si>
    <t>VBL-2500T-BN-NV-PL</t>
  </si>
  <si>
    <t>VBL-2500T-BN-SVP-PL-2</t>
  </si>
  <si>
    <t>For Telecommunications Service Providers Only. Perpetual license for SecureVUE Plus software up to 2,500TB per day in V Series for cloud and virtual environments. Capabilities included: NetVUE for V Series, App Metadata Intelligence, App Filter Intellige</t>
  </si>
  <si>
    <t>VBL-2500T-BN-SVP-PL</t>
  </si>
  <si>
    <t>VBL-250T-ADD-5GC-PL-2</t>
  </si>
  <si>
    <t>For Telecommunications Service Providers Only. Perpetual license for 5G Cloud software up to 250TB per day in V Series for cloud and virtual environments. See data sheet for capabilities included in the 5G Cloud package. This Add-On package requires a ba</t>
  </si>
  <si>
    <t>VBL-250T-ADD-5GC-PL</t>
  </si>
  <si>
    <t>VBL-250T-BN-CORE-PL-2</t>
  </si>
  <si>
    <t>For Telecommunications Service Providers Only. Perpetual license for CoreVUE software up to 250TB per day in V Series for cloud and virtual environments. Capabilities included: Advanced Tunneling, Slicing, Masking, Advanced Load Balancing. Requires Elite</t>
  </si>
  <si>
    <t>VBL-250T-BN-CORE-PL</t>
  </si>
  <si>
    <t>VBL-250T-BN-NV-PL-2</t>
  </si>
  <si>
    <t>For Telecommunications Service Providers Only. Perpetual license for NetVUE software up to 250TB per day in V Series for cloud and virtual environments. Capabilities included: CoreVUE for V Series, De-duplication, NetFlow. Requires Elite Software Support</t>
  </si>
  <si>
    <t>VBL-250T-BN-NV-PL</t>
  </si>
  <si>
    <t>VBL-250T-BN-SVP-PL-2</t>
  </si>
  <si>
    <t>For Telecommunications Service Providers Only. Perpetual license for SecureVUE Plus software up to 250TB per day in V Series for cloud and virtual environments. Capabilities included: NetVUE for V Series, App Metadata Intelligence, App Filter Intelligenc</t>
  </si>
  <si>
    <t>VBL-250T-BN-SVP-PL</t>
  </si>
  <si>
    <t>SMT-HC3-GEN3-INSSL-SW-TM-2</t>
  </si>
  <si>
    <t>Monthly subscription license for GigaSMART, GigaVUE-HC3, SSL Decryption for Inline and Out of Band Tools Feature License. Includes embedded Elite-Plus Support. Initial term must be 12 months or longer. This is a Gen 3 license and requires SMT-HC3-C08-HW</t>
  </si>
  <si>
    <t>SMT-HC3-GEN3-INSSL-SW-TM</t>
  </si>
  <si>
    <t>SMT-HC3-GEN3-HS1-SW-TM-2</t>
  </si>
  <si>
    <t>Monthly subscription license for GigaSMART, GigaVUE-HC3, Header Stripping feature License. Includes embedded Elite-Plus Support. Initial term must be 12 months or longer. This is a Gen 3 license and requires SMT-HC3-C08-HW and SMT-HC3-C08-SW-TM.</t>
  </si>
  <si>
    <t>SMT-HC3-GEN3-HS1-SW-TM</t>
  </si>
  <si>
    <t>SMT-HC1P-GEN3-HS1-SW-TM-2</t>
  </si>
  <si>
    <t>Monthly subscription license for  GigaSMART, GigaVUE-HC1P, Header Stripping feature License. Includes embedded Elite-Plus Support.  Initial term must be 12 months or longer.  This is a Gen 3 license and requires a HC1P chassis.</t>
  </si>
  <si>
    <t>SMT-HC1P-GEN3-HS1-SW-TM</t>
  </si>
  <si>
    <t>SMT-HC1P-GEN3-DD1-SW-TM-2</t>
  </si>
  <si>
    <t>Monthly subscription license for  GigaSMART, GigaVUE-HC1P, De-Duplication Feature License.   Includes embedded Elite-Plus Support.  Initial term must be 12 months or longer.  This is a Gen 3 license and requires a HC1P chassis.</t>
  </si>
  <si>
    <t>SMT-HC1P-GEN3-DD1-SW-TM</t>
  </si>
  <si>
    <t>SMT-HC1P-GEN3-APF-SW-TM-2</t>
  </si>
  <si>
    <t>Monthly subscription license for  GigaSMART, GigaVUE-HC1P, Adaptive Packet Filtering Feature License.   Includes embedded Elite-Plus Support.  Initial term must be 12 months or longer.  This is a Gen 3 license and requires a HC1P chassis.</t>
  </si>
  <si>
    <t>SMT-HC1P-GEN3-APF-SW-TM</t>
  </si>
  <si>
    <t>SMT-HC1P-GEN3-NF1-SW-TM-2</t>
  </si>
  <si>
    <t>Monthly subscription license for  GigaSMART, GigaVUE-HC1P, NetFlow v5, v9 Feature License.   Includes embedded Elite-Plus Support.  Initial term must be 12 months or longer.  This is a Gen 3 license and requires a HC1P chassis.</t>
  </si>
  <si>
    <t>SMT-HC1P-GEN3-NF1-SW-TM</t>
  </si>
  <si>
    <t>SMT-HC1P-GEN3-AFI-SW-TM-2</t>
  </si>
  <si>
    <t>Monthly subscription license for  GigaSMART, GigaVUE-HC1P, Application Filtering Intelligence Feature License.   Includes embedded Elite-Plus Support.  Initial term must be 12 months or longer.  This is a Gen 3 license and requires a HC1P chassis.</t>
  </si>
  <si>
    <t>SMT-HC1P-GEN3-AFI-SW-TM</t>
  </si>
  <si>
    <t>SMT-HC1P-GEN3-AMI-SW-TM-2</t>
  </si>
  <si>
    <t>Monthly subscription license for  GigaSMART, GigaVUE-HC1P, Application Metadata Intelligence Feature License.   Includes embedded Elite-Plus Support.  Initial term must be 12 months or longer.  This is a Gen 3 license and requires a HC1P chassis.</t>
  </si>
  <si>
    <t>SMT-HC1P-GEN3-AMI-SW-TM</t>
  </si>
  <si>
    <t>SMT-HC1P-GEN3-INSSL-SW-TM-2</t>
  </si>
  <si>
    <t>Monthly subscription license for  GigaSMART, GigaVUE-HC1P, SSL Decryption for Inline and Out of Band Tools Feature License.   Includes embedded Elite-Plus Support.  Initial term must be 12 months or longer.  This is a Gen 3 license and requires a HC1P ch</t>
  </si>
  <si>
    <t>SMT-HC1P-GEN3-INSSL-SW-TM</t>
  </si>
  <si>
    <t>GVS-HC1P1-2</t>
  </si>
  <si>
    <t>GigaVUE-HC1-Plus chassis, 8 1/10/25G cages, 4 40/100G cages, built-in Gen3 GigaSMART (includes Slicing, Masking, Source Port &amp; GigaVUE Tunneling De-Encapsulation SW), fan tray, 2 power supplies, AC power.</t>
  </si>
  <si>
    <t>GVS-HC1P1</t>
  </si>
  <si>
    <t>GVS-HC1P2-2</t>
  </si>
  <si>
    <t>GigaVUE-HC1-Plus chassis, 8 1/10/25G cages, 4 40/100G cages, built-in Gen3 GigaSMART (includes Slicing, Masking, Source Port &amp; GigaVUE Tunneling De-Encapsulation SW), fan tray, 2 power supplies, DC power.</t>
  </si>
  <si>
    <t>GVS-HC1P2</t>
  </si>
  <si>
    <t>GVS-HC1P1-HW-2</t>
  </si>
  <si>
    <t>GigaVUE-HC1-Plus chassis, 8 1/10/25G cages, 4 40/100G cages, built-in Gen3 GigaSMART (includes Slicing, Masking, Source Port &amp; GigaVUE Tunneling De-Encapsulation SW), fan tray, 2 power supplies, AC power. Hardware only. Must pair with appropriate GigaVUE</t>
  </si>
  <si>
    <t>GVS-HC1P1-HW</t>
  </si>
  <si>
    <t>GVS-HC1P2-HW-2</t>
  </si>
  <si>
    <t>GigaVUE-HC1-Plus chassis, 8 1/10/25G cages, 4 40/100G cages, built-in Gen3 GigaSMART (includes Slicing, Masking, Source Port &amp; GigaVUE Tunneling De-Encapsulation SW), fan tray, 2 power supplies, DC power. Hardware only. Must pair with appropriate GigaVUE</t>
  </si>
  <si>
    <t>GVS-HC1P2-HW</t>
  </si>
  <si>
    <t>GVS-HC1P-SW-TM-2</t>
  </si>
  <si>
    <t>GigaVUE-OS Term Monthly Software License for GVS-HC1P1-HW or GVS-HC1P2-HW Includes embedded Elite-Plus Software Support Program.</t>
  </si>
  <si>
    <t>GVS-HC1P-SW-TM</t>
  </si>
  <si>
    <t>BPS-HC1-D25A60-2</t>
  </si>
  <si>
    <t>Bypass Module, GigaVUE-HC1-Plus, 6 1/10G SX/SR 50/125 BPS pairs.</t>
  </si>
  <si>
    <t>BPS-HC1-D25A60</t>
  </si>
  <si>
    <t>BPS-HC1-D35C60-2</t>
  </si>
  <si>
    <t>Bypass Module, GigaVUE-HC1-Plus, 6 1/10G LX/LR BPS pairs.</t>
  </si>
  <si>
    <t>BPS-HC1-D35C60</t>
  </si>
  <si>
    <t>BPS-HC1-D25A60-HW-2</t>
  </si>
  <si>
    <t>Bypass Module, GigaVUE-HC1-Plus, 6 1/10G SX/SR 50/125 BPS pairs. Hardware only. Must pair with appropriate GigaVUE-OS Software License.</t>
  </si>
  <si>
    <t>BPS-HC1-D25A60-HW</t>
  </si>
  <si>
    <t>BPS-HC1-D25A60-SW-TM-2</t>
  </si>
  <si>
    <t>GigaVUE-OS Term Software License for BPS-HC1-D25A60-HW. Includes embedded Elite-Plus Software Support Program.</t>
  </si>
  <si>
    <t>BPS-HC1-D25A60-SW-TM</t>
  </si>
  <si>
    <t>BPS-HC1-D35C60-HW-2</t>
  </si>
  <si>
    <t>Bypass Module, GigaVUE-HC1-Plus, 6 1/10G LX/LR BPS pairs. Hardware only. Must pair with appropriate GigaVUE-OS Software License.</t>
  </si>
  <si>
    <t>BPS-HC1-D35C60-HW</t>
  </si>
  <si>
    <t>BPS-HC1-D35C60-SW-TM-2</t>
  </si>
  <si>
    <t>GigaVUE-OS Term Software License for BPS-HC1-D35C60-HW. Includes embedded Elite-Plus Software Support Program.</t>
  </si>
  <si>
    <t>BPS-HC1-D35C60-SW-TM</t>
  </si>
  <si>
    <t>FAN-HC1P0-2</t>
  </si>
  <si>
    <t>GigaVUE-HC1-Plus Fan Assembly, each (3 required).</t>
  </si>
  <si>
    <t>FAN-HC1P0</t>
  </si>
  <si>
    <t>SMT-HC1P-GEN3-SSL-SW-TM-2</t>
  </si>
  <si>
    <t>Monthly subscription license for  GigaSMART, GigaVUE-HC1P, SSL Decryption for Out of Band Tools Feature License.   Includes embedded Elite-Plus Support.  Initial term must be 12 months or longer.  This is a Gen 3 license and requires a HC1P chassis.</t>
  </si>
  <si>
    <t>SMT-HC1P-GEN3-SSL-SW-TM</t>
  </si>
  <si>
    <t>SMT-HC1P-GEN3-AT1-SW-TM-2</t>
  </si>
  <si>
    <t>Monthly subscription license for  GigaSMART, GigaVUE-HC1P, Advanced Tunneling Filtering Feature License.   Includes embedded Elite-Plus Support.  Initial term must be 12 months or longer.  This is a Gen 3 license and requires a HC1P chassis.</t>
  </si>
  <si>
    <t>SMT-HC1P-GEN3-AT1-SW-TM</t>
  </si>
  <si>
    <t>Carahsoft SKU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</si>
</sst>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3">
    <font>
      <sz val="11"/>
      <name val="Calibri"/>
    </font>
    <font>
      <sz val="11"/>
      <name val="Calibri"/>
      <family val="2"/>
    </font>
    <font>
      <b/>
      <sz val="11"/>
      <name val="Calibri"/>
      <family val="2"/>
    </font>
  </fonts>
  <fills count="3">
    <fill>
      <patternFill patternType="none"/>
    </fill>
    <fill>
      <patternFill patternType="gray125"/>
    </fill>
    <fill>
      <patternFill patternType="solid">
        <fgColor theme="4" tint="0.59999389629810485"/>
        <bgColor indexed="64"/>
      </patternFill>
    </fill>
  </fills>
  <borders count="1">
    <border>
      <left/>
      <right/>
      <top/>
      <bottom/>
      <diagonal/>
    </border>
  </borders>
  <cellStyleXfs count="2">
    <xf numFmtId="0" fontId="0" fillId="0" borderId="0"/>
    <xf numFmtId="44" fontId="1" fillId="0" borderId="0" applyFont="0" applyFill="0" applyBorder="0" applyAlignment="0" applyProtection="0"/>
  </cellStyleXfs>
  <cellXfs count="12">
    <xf numFmtId="0" fontId="0" fillId="0" borderId="0" xfId="0" applyNumberFormat="1" applyFont="1"/>
    <xf numFmtId="0" fontId="0" fillId="0" borderId="0" xfId="0" applyNumberFormat="1" applyFont="1" applyAlignment="1">
      <alignment horizontal="left" vertical="top"/>
    </xf>
    <xf numFmtId="0" fontId="0" fillId="0" borderId="0" xfId="0" applyNumberFormat="1" applyFont="1" applyAlignment="1">
      <alignment vertical="top"/>
    </xf>
    <xf numFmtId="0" fontId="0" fillId="0" borderId="0" xfId="0" applyNumberFormat="1" applyFont="1" applyAlignment="1">
      <alignment horizontal="left" vertical="top" indent="1"/>
    </xf>
    <xf numFmtId="0" fontId="0" fillId="0" borderId="0" xfId="0" applyNumberFormat="1" applyFont="1" applyAlignment="1">
      <alignment horizontal="left" vertical="top" wrapText="1" indent="1"/>
    </xf>
    <xf numFmtId="0" fontId="0" fillId="0" borderId="0" xfId="0" applyNumberFormat="1" applyFont="1" applyAlignment="1">
      <alignment horizontal="center" vertical="top"/>
    </xf>
    <xf numFmtId="44" fontId="0" fillId="0" borderId="0" xfId="1" applyFont="1" applyAlignment="1">
      <alignment horizontal="center" vertical="top"/>
    </xf>
    <xf numFmtId="0" fontId="2" fillId="2" borderId="0" xfId="0" applyNumberFormat="1" applyFont="1" applyFill="1" applyAlignment="1">
      <alignment horizontal="left" vertical="top"/>
    </xf>
    <xf numFmtId="0" fontId="2" fillId="2" borderId="0" xfId="0" applyNumberFormat="1" applyFont="1" applyFill="1" applyAlignment="1">
      <alignment horizontal="left" vertical="top" wrapText="1" indent="1"/>
    </xf>
    <xf numFmtId="0" fontId="2" fillId="2" borderId="0" xfId="0" applyNumberFormat="1" applyFont="1" applyFill="1" applyAlignment="1">
      <alignment horizontal="left" vertical="top" indent="1"/>
    </xf>
    <xf numFmtId="0" fontId="2" fillId="2" borderId="0" xfId="0" applyNumberFormat="1" applyFont="1" applyFill="1" applyAlignment="1">
      <alignment horizontal="center" vertical="top"/>
    </xf>
    <xf numFmtId="44" fontId="2" fillId="2" borderId="0" xfId="1" applyFont="1" applyFill="1" applyAlignment="1">
      <alignment horizontal="center" vertical="top"/>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2705"/>
  <sheetViews>
    <sheetView tabSelected="1" workbookViewId="0">
      <selection activeCell="F5" sqref="F5"/>
    </sheetView>
  </sheetViews>
  <sheetFormatPr defaultRowHeight="14.5"/>
  <cols>
    <col min="1" max="1" width="37.08984375" style="1" bestFit="1" customWidth="1"/>
    <col min="2" max="2" width="61.7265625" style="4" customWidth="1"/>
    <col min="3" max="3" width="35" style="3" customWidth="1"/>
    <col min="4" max="4" width="9.1796875" style="5" customWidth="1"/>
    <col min="5" max="5" width="14.26953125" style="6" bestFit="1" customWidth="1"/>
    <col min="6" max="6" width="19.54296875" style="5" customWidth="1"/>
    <col min="7" max="16384" width="8.7265625" style="2"/>
  </cols>
  <sheetData>
    <row r="1" spans="1:6">
      <c r="A1" s="7" t="s">
        <v>7928</v>
      </c>
      <c r="B1" s="8" t="s">
        <v>0</v>
      </c>
      <c r="C1" s="9" t="s">
        <v>1</v>
      </c>
      <c r="D1" s="10" t="s">
        <v>2</v>
      </c>
      <c r="E1" s="11" t="s">
        <v>3</v>
      </c>
      <c r="F1" s="10" t="s">
        <v>4</v>
      </c>
    </row>
    <row r="2" spans="1:6" ht="29">
      <c r="A2" s="1" t="s">
        <v>5</v>
      </c>
      <c r="B2" s="4" t="s">
        <v>6</v>
      </c>
      <c r="C2" s="3" t="s">
        <v>7</v>
      </c>
      <c r="D2" s="5" t="s">
        <v>8</v>
      </c>
      <c r="E2" s="6">
        <f>VALUE(149.75)</f>
        <v>149.75</v>
      </c>
      <c r="F2" s="5" t="s">
        <v>10</v>
      </c>
    </row>
    <row r="3" spans="1:6" ht="29">
      <c r="A3" s="1" t="s">
        <v>11</v>
      </c>
      <c r="B3" s="4" t="s">
        <v>12</v>
      </c>
      <c r="C3" s="3" t="s">
        <v>13</v>
      </c>
      <c r="D3" s="5" t="s">
        <v>8</v>
      </c>
      <c r="E3" s="6">
        <f>VALUE(2745)</f>
        <v>2745</v>
      </c>
      <c r="F3" s="5" t="s">
        <v>10</v>
      </c>
    </row>
    <row r="4" spans="1:6" ht="43.5">
      <c r="A4" s="1" t="s">
        <v>14</v>
      </c>
      <c r="B4" s="4" t="s">
        <v>15</v>
      </c>
      <c r="C4" s="3" t="s">
        <v>16</v>
      </c>
      <c r="D4" s="5" t="s">
        <v>8</v>
      </c>
      <c r="E4" s="6">
        <f>VALUE(374.25)</f>
        <v>374.25</v>
      </c>
      <c r="F4" s="5" t="s">
        <v>10</v>
      </c>
    </row>
    <row r="5" spans="1:6" ht="43.5">
      <c r="A5" s="1" t="s">
        <v>17</v>
      </c>
      <c r="B5" s="4" t="s">
        <v>18</v>
      </c>
      <c r="C5" s="3" t="s">
        <v>19</v>
      </c>
      <c r="D5" s="5" t="s">
        <v>8</v>
      </c>
      <c r="E5" s="6">
        <f>VALUE(499)</f>
        <v>499</v>
      </c>
      <c r="F5" s="5" t="s">
        <v>10</v>
      </c>
    </row>
    <row r="6" spans="1:6" ht="43.5">
      <c r="A6" s="1" t="s">
        <v>20</v>
      </c>
      <c r="B6" s="4" t="s">
        <v>21</v>
      </c>
      <c r="C6" s="3" t="s">
        <v>22</v>
      </c>
      <c r="D6" s="5" t="s">
        <v>8</v>
      </c>
      <c r="E6" s="6">
        <f>VALUE(374.25)</f>
        <v>374.25</v>
      </c>
      <c r="F6" s="5" t="s">
        <v>10</v>
      </c>
    </row>
    <row r="7" spans="1:6" ht="29">
      <c r="A7" s="1" t="s">
        <v>23</v>
      </c>
      <c r="B7" s="4" t="s">
        <v>24</v>
      </c>
      <c r="C7" s="3" t="s">
        <v>25</v>
      </c>
      <c r="D7" s="5" t="s">
        <v>8</v>
      </c>
      <c r="E7" s="6">
        <f>VALUE(124.75)</f>
        <v>124.75</v>
      </c>
      <c r="F7" s="5" t="s">
        <v>10</v>
      </c>
    </row>
    <row r="8" spans="1:6">
      <c r="A8" s="1" t="s">
        <v>26</v>
      </c>
      <c r="B8" s="4" t="s">
        <v>27</v>
      </c>
      <c r="C8" s="3" t="s">
        <v>28</v>
      </c>
      <c r="D8" s="5" t="s">
        <v>8</v>
      </c>
      <c r="E8" s="6">
        <f>VALUE(8245)</f>
        <v>8245</v>
      </c>
      <c r="F8" s="5" t="s">
        <v>10</v>
      </c>
    </row>
    <row r="9" spans="1:6" ht="29">
      <c r="A9" s="1" t="s">
        <v>29</v>
      </c>
      <c r="B9" s="4" t="s">
        <v>30</v>
      </c>
      <c r="C9" s="3" t="s">
        <v>31</v>
      </c>
      <c r="D9" s="5" t="s">
        <v>8</v>
      </c>
      <c r="E9" s="6">
        <f>VALUE(1124.25)</f>
        <v>1124.25</v>
      </c>
      <c r="F9" s="5" t="s">
        <v>10</v>
      </c>
    </row>
    <row r="10" spans="1:6" ht="29">
      <c r="A10" s="1" t="s">
        <v>32</v>
      </c>
      <c r="B10" s="4" t="s">
        <v>33</v>
      </c>
      <c r="C10" s="3" t="s">
        <v>34</v>
      </c>
      <c r="D10" s="5" t="s">
        <v>8</v>
      </c>
      <c r="E10" s="6">
        <f>VALUE(1499)</f>
        <v>1499</v>
      </c>
      <c r="F10" s="5" t="s">
        <v>10</v>
      </c>
    </row>
    <row r="11" spans="1:6" ht="43.5">
      <c r="A11" s="1" t="s">
        <v>35</v>
      </c>
      <c r="B11" s="4" t="s">
        <v>36</v>
      </c>
      <c r="C11" s="3" t="s">
        <v>37</v>
      </c>
      <c r="D11" s="5" t="s">
        <v>8</v>
      </c>
      <c r="E11" s="6">
        <f>VALUE(1124.25)</f>
        <v>1124.25</v>
      </c>
      <c r="F11" s="5" t="s">
        <v>10</v>
      </c>
    </row>
    <row r="12" spans="1:6" ht="29">
      <c r="A12" s="1" t="s">
        <v>38</v>
      </c>
      <c r="B12" s="4" t="s">
        <v>39</v>
      </c>
      <c r="C12" s="3" t="s">
        <v>40</v>
      </c>
      <c r="D12" s="5" t="s">
        <v>8</v>
      </c>
      <c r="E12" s="6">
        <f>VALUE(374.75)</f>
        <v>374.75</v>
      </c>
      <c r="F12" s="5" t="s">
        <v>10</v>
      </c>
    </row>
    <row r="13" spans="1:6" ht="29">
      <c r="A13" s="1" t="s">
        <v>41</v>
      </c>
      <c r="B13" s="4" t="s">
        <v>42</v>
      </c>
      <c r="C13" s="3" t="s">
        <v>43</v>
      </c>
      <c r="D13" s="5" t="s">
        <v>8</v>
      </c>
      <c r="E13" s="6">
        <f>VALUE(8315)</f>
        <v>8315</v>
      </c>
      <c r="F13" s="5" t="s">
        <v>10</v>
      </c>
    </row>
    <row r="14" spans="1:6" ht="43.5">
      <c r="A14" s="1" t="s">
        <v>44</v>
      </c>
      <c r="B14" s="4" t="s">
        <v>45</v>
      </c>
      <c r="C14" s="3" t="s">
        <v>46</v>
      </c>
      <c r="D14" s="5" t="s">
        <v>8</v>
      </c>
      <c r="E14" s="6">
        <f>VALUE(2249.25)</f>
        <v>2249.25</v>
      </c>
      <c r="F14" s="5" t="s">
        <v>10</v>
      </c>
    </row>
    <row r="15" spans="1:6" ht="43.5">
      <c r="A15" s="1" t="s">
        <v>47</v>
      </c>
      <c r="B15" s="4" t="s">
        <v>48</v>
      </c>
      <c r="C15" s="3" t="s">
        <v>49</v>
      </c>
      <c r="D15" s="5" t="s">
        <v>8</v>
      </c>
      <c r="E15" s="6">
        <f>VALUE(2999)</f>
        <v>2999</v>
      </c>
      <c r="F15" s="5" t="s">
        <v>10</v>
      </c>
    </row>
    <row r="16" spans="1:6" ht="43.5">
      <c r="A16" s="1" t="s">
        <v>50</v>
      </c>
      <c r="B16" s="4" t="s">
        <v>51</v>
      </c>
      <c r="C16" s="3" t="s">
        <v>52</v>
      </c>
      <c r="D16" s="5" t="s">
        <v>8</v>
      </c>
      <c r="E16" s="6">
        <f>VALUE(2249.25)</f>
        <v>2249.25</v>
      </c>
      <c r="F16" s="5" t="s">
        <v>10</v>
      </c>
    </row>
    <row r="17" spans="1:6" ht="43.5">
      <c r="A17" s="1" t="s">
        <v>53</v>
      </c>
      <c r="B17" s="4" t="s">
        <v>54</v>
      </c>
      <c r="C17" s="3" t="s">
        <v>53</v>
      </c>
      <c r="D17" s="5" t="s">
        <v>8</v>
      </c>
      <c r="E17" s="6">
        <f>VALUE(50000)</f>
        <v>50000</v>
      </c>
      <c r="F17" s="5" t="s">
        <v>55</v>
      </c>
    </row>
    <row r="18" spans="1:6">
      <c r="A18" s="1" t="s">
        <v>56</v>
      </c>
      <c r="B18" s="4" t="s">
        <v>57</v>
      </c>
      <c r="C18" s="3" t="s">
        <v>58</v>
      </c>
      <c r="D18" s="5" t="s">
        <v>8</v>
      </c>
      <c r="E18" s="6">
        <f>VALUE(29695)</f>
        <v>29695</v>
      </c>
      <c r="F18" s="5" t="s">
        <v>10</v>
      </c>
    </row>
    <row r="19" spans="1:6" ht="29">
      <c r="A19" s="1" t="s">
        <v>59</v>
      </c>
      <c r="B19" s="4" t="s">
        <v>60</v>
      </c>
      <c r="C19" s="3" t="s">
        <v>59</v>
      </c>
      <c r="D19" s="5" t="s">
        <v>8</v>
      </c>
      <c r="E19" s="6">
        <f>VALUE(4995)</f>
        <v>4995</v>
      </c>
      <c r="F19" s="5" t="s">
        <v>9</v>
      </c>
    </row>
    <row r="20" spans="1:6" ht="29">
      <c r="A20" s="1" t="s">
        <v>61</v>
      </c>
      <c r="B20" s="4" t="s">
        <v>62</v>
      </c>
      <c r="C20" s="3" t="s">
        <v>61</v>
      </c>
      <c r="D20" s="5" t="s">
        <v>8</v>
      </c>
      <c r="E20" s="6">
        <f>VALUE(1995)</f>
        <v>1995</v>
      </c>
      <c r="F20" s="5" t="s">
        <v>10</v>
      </c>
    </row>
    <row r="21" spans="1:6" ht="43.5">
      <c r="A21" s="1" t="s">
        <v>63</v>
      </c>
      <c r="B21" s="4" t="s">
        <v>64</v>
      </c>
      <c r="C21" s="3" t="s">
        <v>65</v>
      </c>
      <c r="D21" s="5" t="s">
        <v>8</v>
      </c>
      <c r="E21" s="6">
        <f>VALUE(2075)</f>
        <v>2075</v>
      </c>
      <c r="F21" s="5" t="s">
        <v>10</v>
      </c>
    </row>
    <row r="22" spans="1:6" ht="43.5">
      <c r="A22" s="1" t="s">
        <v>66</v>
      </c>
      <c r="B22" s="4" t="s">
        <v>67</v>
      </c>
      <c r="C22" s="3" t="s">
        <v>68</v>
      </c>
      <c r="D22" s="5" t="s">
        <v>8</v>
      </c>
      <c r="E22" s="6">
        <f>VALUE(300)</f>
        <v>300</v>
      </c>
      <c r="F22" s="5" t="s">
        <v>10</v>
      </c>
    </row>
    <row r="23" spans="1:6" ht="29">
      <c r="A23" s="1" t="s">
        <v>69</v>
      </c>
      <c r="B23" s="4" t="s">
        <v>70</v>
      </c>
      <c r="C23" s="3" t="s">
        <v>71</v>
      </c>
      <c r="D23" s="5" t="s">
        <v>8</v>
      </c>
      <c r="E23" s="6">
        <f>VALUE(400)</f>
        <v>400</v>
      </c>
      <c r="F23" s="5" t="s">
        <v>10</v>
      </c>
    </row>
    <row r="24" spans="1:6" ht="29">
      <c r="A24" s="1" t="s">
        <v>72</v>
      </c>
      <c r="B24" s="4" t="s">
        <v>73</v>
      </c>
      <c r="C24" s="3" t="s">
        <v>74</v>
      </c>
      <c r="D24" s="5" t="s">
        <v>8</v>
      </c>
      <c r="E24" s="6">
        <f>VALUE(300)</f>
        <v>300</v>
      </c>
      <c r="F24" s="5" t="s">
        <v>10</v>
      </c>
    </row>
    <row r="25" spans="1:6" ht="29">
      <c r="A25" s="1" t="s">
        <v>75</v>
      </c>
      <c r="B25" s="4" t="s">
        <v>76</v>
      </c>
      <c r="C25" s="3" t="s">
        <v>77</v>
      </c>
      <c r="D25" s="5" t="s">
        <v>8</v>
      </c>
      <c r="E25" s="6">
        <f>VALUE(100)</f>
        <v>100</v>
      </c>
      <c r="F25" s="5" t="s">
        <v>10</v>
      </c>
    </row>
    <row r="26" spans="1:6" ht="43.5">
      <c r="A26" s="1" t="s">
        <v>78</v>
      </c>
      <c r="B26" s="4" t="s">
        <v>79</v>
      </c>
      <c r="C26" s="3" t="s">
        <v>80</v>
      </c>
      <c r="D26" s="5" t="s">
        <v>8</v>
      </c>
      <c r="E26" s="6">
        <f>VALUE(10400)</f>
        <v>10400</v>
      </c>
      <c r="F26" s="5" t="s">
        <v>10</v>
      </c>
    </row>
    <row r="27" spans="1:6" ht="43.5">
      <c r="A27" s="1" t="s">
        <v>81</v>
      </c>
      <c r="B27" s="4" t="s">
        <v>82</v>
      </c>
      <c r="C27" s="3" t="s">
        <v>83</v>
      </c>
      <c r="D27" s="5" t="s">
        <v>8</v>
      </c>
      <c r="E27" s="6">
        <f>VALUE(1500)</f>
        <v>1500</v>
      </c>
      <c r="F27" s="5" t="s">
        <v>10</v>
      </c>
    </row>
    <row r="28" spans="1:6" ht="29">
      <c r="A28" s="1" t="s">
        <v>84</v>
      </c>
      <c r="B28" s="4" t="s">
        <v>85</v>
      </c>
      <c r="C28" s="3" t="s">
        <v>86</v>
      </c>
      <c r="D28" s="5" t="s">
        <v>8</v>
      </c>
      <c r="E28" s="6">
        <f>VALUE(2000)</f>
        <v>2000</v>
      </c>
      <c r="F28" s="5" t="s">
        <v>10</v>
      </c>
    </row>
    <row r="29" spans="1:6" ht="29">
      <c r="A29" s="1" t="s">
        <v>87</v>
      </c>
      <c r="B29" s="4" t="s">
        <v>88</v>
      </c>
      <c r="C29" s="3" t="s">
        <v>89</v>
      </c>
      <c r="D29" s="5" t="s">
        <v>8</v>
      </c>
      <c r="E29" s="6">
        <f>VALUE(1500)</f>
        <v>1500</v>
      </c>
      <c r="F29" s="5" t="s">
        <v>10</v>
      </c>
    </row>
    <row r="30" spans="1:6" ht="29">
      <c r="A30" s="1" t="s">
        <v>90</v>
      </c>
      <c r="B30" s="4" t="s">
        <v>91</v>
      </c>
      <c r="C30" s="3" t="s">
        <v>92</v>
      </c>
      <c r="D30" s="5" t="s">
        <v>8</v>
      </c>
      <c r="E30" s="6">
        <f>VALUE(500)</f>
        <v>500</v>
      </c>
      <c r="F30" s="5" t="s">
        <v>10</v>
      </c>
    </row>
    <row r="31" spans="1:6">
      <c r="A31" s="1" t="s">
        <v>93</v>
      </c>
      <c r="B31" s="4" t="s">
        <v>94</v>
      </c>
      <c r="C31" s="3" t="s">
        <v>95</v>
      </c>
      <c r="D31" s="5" t="s">
        <v>8</v>
      </c>
      <c r="E31" s="6">
        <f>VALUE(1795)</f>
        <v>1795</v>
      </c>
      <c r="F31" s="5" t="s">
        <v>10</v>
      </c>
    </row>
    <row r="32" spans="1:6">
      <c r="A32" s="1" t="s">
        <v>96</v>
      </c>
      <c r="B32" s="4" t="s">
        <v>97</v>
      </c>
      <c r="C32" s="3" t="s">
        <v>98</v>
      </c>
      <c r="D32" s="5" t="s">
        <v>8</v>
      </c>
      <c r="E32" s="6">
        <f>VALUE(149)</f>
        <v>149</v>
      </c>
      <c r="F32" s="5" t="s">
        <v>10</v>
      </c>
    </row>
    <row r="33" spans="1:6">
      <c r="A33" s="1" t="s">
        <v>99</v>
      </c>
      <c r="B33" s="4" t="s">
        <v>100</v>
      </c>
      <c r="C33" s="3" t="s">
        <v>101</v>
      </c>
      <c r="D33" s="5" t="s">
        <v>8</v>
      </c>
      <c r="E33" s="6">
        <f>VALUE(895)</f>
        <v>895</v>
      </c>
      <c r="F33" s="5" t="s">
        <v>10</v>
      </c>
    </row>
    <row r="34" spans="1:6" ht="29">
      <c r="A34" s="1" t="s">
        <v>102</v>
      </c>
      <c r="B34" s="4" t="s">
        <v>103</v>
      </c>
      <c r="C34" s="3" t="s">
        <v>104</v>
      </c>
      <c r="D34" s="5" t="s">
        <v>8</v>
      </c>
      <c r="E34" s="6">
        <f>VALUE(4499.25)</f>
        <v>4499.25</v>
      </c>
      <c r="F34" s="5" t="s">
        <v>10</v>
      </c>
    </row>
    <row r="35" spans="1:6" ht="43.5">
      <c r="A35" s="1" t="s">
        <v>105</v>
      </c>
      <c r="B35" s="4" t="s">
        <v>106</v>
      </c>
      <c r="C35" s="3" t="s">
        <v>107</v>
      </c>
      <c r="D35" s="5" t="s">
        <v>8</v>
      </c>
      <c r="E35" s="6">
        <f>VALUE(4799.25)</f>
        <v>4799.25</v>
      </c>
      <c r="F35" s="5" t="s">
        <v>10</v>
      </c>
    </row>
    <row r="36" spans="1:6" ht="43.5">
      <c r="A36" s="1" t="s">
        <v>108</v>
      </c>
      <c r="B36" s="4" t="s">
        <v>109</v>
      </c>
      <c r="C36" s="3" t="s">
        <v>110</v>
      </c>
      <c r="D36" s="5" t="s">
        <v>8</v>
      </c>
      <c r="E36" s="6">
        <f>VALUE(6399)</f>
        <v>6399</v>
      </c>
      <c r="F36" s="5" t="s">
        <v>10</v>
      </c>
    </row>
    <row r="37" spans="1:6" ht="29">
      <c r="A37" s="1" t="s">
        <v>111</v>
      </c>
      <c r="B37" s="4" t="s">
        <v>112</v>
      </c>
      <c r="C37" s="3" t="s">
        <v>113</v>
      </c>
      <c r="D37" s="5" t="s">
        <v>8</v>
      </c>
      <c r="E37" s="6">
        <f>VALUE(4799.25)</f>
        <v>4799.25</v>
      </c>
      <c r="F37" s="5" t="s">
        <v>10</v>
      </c>
    </row>
    <row r="38" spans="1:6" ht="43.5">
      <c r="A38" s="1" t="s">
        <v>114</v>
      </c>
      <c r="B38" s="4" t="s">
        <v>115</v>
      </c>
      <c r="C38" s="3" t="s">
        <v>116</v>
      </c>
      <c r="D38" s="5" t="s">
        <v>8</v>
      </c>
      <c r="E38" s="6">
        <f>VALUE(5249.25)</f>
        <v>5249.25</v>
      </c>
      <c r="F38" s="5" t="s">
        <v>10</v>
      </c>
    </row>
    <row r="39" spans="1:6" ht="29">
      <c r="A39" s="1" t="s">
        <v>117</v>
      </c>
      <c r="B39" s="4" t="s">
        <v>118</v>
      </c>
      <c r="C39" s="3" t="s">
        <v>119</v>
      </c>
      <c r="D39" s="5" t="s">
        <v>8</v>
      </c>
      <c r="E39" s="6">
        <f>VALUE(6999)</f>
        <v>6999</v>
      </c>
      <c r="F39" s="5" t="s">
        <v>10</v>
      </c>
    </row>
    <row r="40" spans="1:6" ht="29">
      <c r="A40" s="1" t="s">
        <v>120</v>
      </c>
      <c r="B40" s="4" t="s">
        <v>121</v>
      </c>
      <c r="C40" s="3" t="s">
        <v>122</v>
      </c>
      <c r="D40" s="5" t="s">
        <v>8</v>
      </c>
      <c r="E40" s="6">
        <f>VALUE(5249.25)</f>
        <v>5249.25</v>
      </c>
      <c r="F40" s="5" t="s">
        <v>10</v>
      </c>
    </row>
    <row r="41" spans="1:6" ht="29">
      <c r="A41" s="1" t="s">
        <v>123</v>
      </c>
      <c r="B41" s="4" t="s">
        <v>124</v>
      </c>
      <c r="C41" s="3" t="s">
        <v>125</v>
      </c>
      <c r="D41" s="5" t="s">
        <v>8</v>
      </c>
      <c r="E41" s="6">
        <f>VALUE(63.75)</f>
        <v>63.75</v>
      </c>
      <c r="F41" s="5" t="s">
        <v>10</v>
      </c>
    </row>
    <row r="42" spans="1:6" ht="29">
      <c r="A42" s="1" t="s">
        <v>126</v>
      </c>
      <c r="B42" s="4" t="s">
        <v>127</v>
      </c>
      <c r="C42" s="3" t="s">
        <v>128</v>
      </c>
      <c r="D42" s="5" t="s">
        <v>8</v>
      </c>
      <c r="E42" s="6">
        <f>VALUE(85)</f>
        <v>85</v>
      </c>
      <c r="F42" s="5" t="s">
        <v>10</v>
      </c>
    </row>
    <row r="43" spans="1:6" ht="29">
      <c r="A43" s="1" t="s">
        <v>129</v>
      </c>
      <c r="B43" s="4" t="s">
        <v>130</v>
      </c>
      <c r="C43" s="3" t="s">
        <v>131</v>
      </c>
      <c r="D43" s="5" t="s">
        <v>8</v>
      </c>
      <c r="E43" s="6">
        <f>VALUE(63.75)</f>
        <v>63.75</v>
      </c>
      <c r="F43" s="5" t="s">
        <v>10</v>
      </c>
    </row>
    <row r="44" spans="1:6" ht="29">
      <c r="A44" s="1" t="s">
        <v>132</v>
      </c>
      <c r="B44" s="4" t="s">
        <v>133</v>
      </c>
      <c r="C44" s="3" t="s">
        <v>134</v>
      </c>
      <c r="D44" s="5" t="s">
        <v>8</v>
      </c>
      <c r="E44" s="6">
        <f>VALUE(74.25)</f>
        <v>74.25</v>
      </c>
      <c r="F44" s="5" t="s">
        <v>10</v>
      </c>
    </row>
    <row r="45" spans="1:6" ht="29">
      <c r="A45" s="1" t="s">
        <v>135</v>
      </c>
      <c r="B45" s="4" t="s">
        <v>136</v>
      </c>
      <c r="C45" s="3" t="s">
        <v>137</v>
      </c>
      <c r="D45" s="5" t="s">
        <v>8</v>
      </c>
      <c r="E45" s="6">
        <f>VALUE(99)</f>
        <v>99</v>
      </c>
      <c r="F45" s="5" t="s">
        <v>10</v>
      </c>
    </row>
    <row r="46" spans="1:6" ht="29">
      <c r="A46" s="1" t="s">
        <v>138</v>
      </c>
      <c r="B46" s="4" t="s">
        <v>139</v>
      </c>
      <c r="C46" s="3" t="s">
        <v>140</v>
      </c>
      <c r="D46" s="5" t="s">
        <v>8</v>
      </c>
      <c r="E46" s="6">
        <f>VALUE(74.25)</f>
        <v>74.25</v>
      </c>
      <c r="F46" s="5" t="s">
        <v>10</v>
      </c>
    </row>
    <row r="47" spans="1:6" ht="29">
      <c r="A47" s="1" t="s">
        <v>141</v>
      </c>
      <c r="B47" s="4" t="s">
        <v>142</v>
      </c>
      <c r="C47" s="3" t="s">
        <v>143</v>
      </c>
      <c r="D47" s="5" t="s">
        <v>8</v>
      </c>
      <c r="E47" s="6">
        <f>VALUE(194.25)</f>
        <v>194.25</v>
      </c>
      <c r="F47" s="5" t="s">
        <v>10</v>
      </c>
    </row>
    <row r="48" spans="1:6" ht="29">
      <c r="A48" s="1" t="s">
        <v>144</v>
      </c>
      <c r="B48" s="4" t="s">
        <v>145</v>
      </c>
      <c r="C48" s="3" t="s">
        <v>146</v>
      </c>
      <c r="D48" s="5" t="s">
        <v>8</v>
      </c>
      <c r="E48" s="6">
        <f>VALUE(259)</f>
        <v>259</v>
      </c>
      <c r="F48" s="5" t="s">
        <v>10</v>
      </c>
    </row>
    <row r="49" spans="1:6" ht="29">
      <c r="A49" s="1" t="s">
        <v>147</v>
      </c>
      <c r="B49" s="4" t="s">
        <v>148</v>
      </c>
      <c r="C49" s="3" t="s">
        <v>149</v>
      </c>
      <c r="D49" s="5" t="s">
        <v>8</v>
      </c>
      <c r="E49" s="6">
        <f>VALUE(194.25)</f>
        <v>194.25</v>
      </c>
      <c r="F49" s="5" t="s">
        <v>10</v>
      </c>
    </row>
    <row r="50" spans="1:6" ht="29">
      <c r="A50" s="1" t="s">
        <v>150</v>
      </c>
      <c r="B50" s="4" t="s">
        <v>151</v>
      </c>
      <c r="C50" s="3" t="s">
        <v>152</v>
      </c>
      <c r="D50" s="5" t="s">
        <v>8</v>
      </c>
      <c r="E50" s="6">
        <f>VALUE(17899)</f>
        <v>17899</v>
      </c>
      <c r="F50" s="5" t="s">
        <v>10</v>
      </c>
    </row>
    <row r="51" spans="1:6" ht="29">
      <c r="A51" s="1" t="s">
        <v>153</v>
      </c>
      <c r="B51" s="4" t="s">
        <v>154</v>
      </c>
      <c r="C51" s="3" t="s">
        <v>155</v>
      </c>
      <c r="D51" s="5" t="s">
        <v>8</v>
      </c>
      <c r="E51" s="6">
        <f>VALUE(13424.25)</f>
        <v>13424.25</v>
      </c>
      <c r="F51" s="5" t="s">
        <v>10</v>
      </c>
    </row>
    <row r="52" spans="1:6" ht="43.5">
      <c r="A52" s="1" t="s">
        <v>156</v>
      </c>
      <c r="B52" s="4" t="s">
        <v>157</v>
      </c>
      <c r="C52" s="3" t="s">
        <v>158</v>
      </c>
      <c r="D52" s="5" t="s">
        <v>8</v>
      </c>
      <c r="E52" s="6">
        <f>VALUE(1912.5)</f>
        <v>1912.5</v>
      </c>
      <c r="F52" s="5" t="s">
        <v>10</v>
      </c>
    </row>
    <row r="53" spans="1:6" ht="29">
      <c r="A53" s="1" t="s">
        <v>159</v>
      </c>
      <c r="B53" s="4" t="s">
        <v>160</v>
      </c>
      <c r="C53" s="3" t="s">
        <v>161</v>
      </c>
      <c r="D53" s="5" t="s">
        <v>8</v>
      </c>
      <c r="E53" s="6">
        <f>VALUE(2550)</f>
        <v>2550</v>
      </c>
      <c r="F53" s="5" t="s">
        <v>10</v>
      </c>
    </row>
    <row r="54" spans="1:6" ht="29">
      <c r="A54" s="1" t="s">
        <v>162</v>
      </c>
      <c r="B54" s="4" t="s">
        <v>163</v>
      </c>
      <c r="C54" s="3" t="s">
        <v>164</v>
      </c>
      <c r="D54" s="5" t="s">
        <v>8</v>
      </c>
      <c r="E54" s="6">
        <f>VALUE(1912.5)</f>
        <v>1912.5</v>
      </c>
      <c r="F54" s="5" t="s">
        <v>10</v>
      </c>
    </row>
    <row r="55" spans="1:6" ht="43.5">
      <c r="A55" s="1" t="s">
        <v>165</v>
      </c>
      <c r="B55" s="4" t="s">
        <v>166</v>
      </c>
      <c r="C55" s="3" t="s">
        <v>167</v>
      </c>
      <c r="D55" s="5" t="s">
        <v>8</v>
      </c>
      <c r="E55" s="6">
        <f>VALUE(1800)</f>
        <v>1800</v>
      </c>
      <c r="F55" s="5" t="s">
        <v>10</v>
      </c>
    </row>
    <row r="56" spans="1:6" ht="29">
      <c r="A56" s="1" t="s">
        <v>168</v>
      </c>
      <c r="B56" s="4" t="s">
        <v>169</v>
      </c>
      <c r="C56" s="3" t="s">
        <v>170</v>
      </c>
      <c r="D56" s="5" t="s">
        <v>8</v>
      </c>
      <c r="E56" s="6">
        <f>VALUE(2400)</f>
        <v>2400</v>
      </c>
      <c r="F56" s="5" t="s">
        <v>10</v>
      </c>
    </row>
    <row r="57" spans="1:6" ht="29">
      <c r="A57" s="1" t="s">
        <v>171</v>
      </c>
      <c r="B57" s="4" t="s">
        <v>172</v>
      </c>
      <c r="C57" s="3" t="s">
        <v>173</v>
      </c>
      <c r="D57" s="5" t="s">
        <v>8</v>
      </c>
      <c r="E57" s="6">
        <f>VALUE(1800)</f>
        <v>1800</v>
      </c>
      <c r="F57" s="5" t="s">
        <v>10</v>
      </c>
    </row>
    <row r="58" spans="1:6" ht="43.5">
      <c r="A58" s="1" t="s">
        <v>174</v>
      </c>
      <c r="B58" s="4" t="s">
        <v>175</v>
      </c>
      <c r="C58" s="3" t="s">
        <v>176</v>
      </c>
      <c r="D58" s="5" t="s">
        <v>8</v>
      </c>
      <c r="E58" s="6">
        <f>VALUE(3600)</f>
        <v>3600</v>
      </c>
      <c r="F58" s="5" t="s">
        <v>10</v>
      </c>
    </row>
    <row r="59" spans="1:6" ht="29">
      <c r="A59" s="1" t="s">
        <v>177</v>
      </c>
      <c r="B59" s="4" t="s">
        <v>178</v>
      </c>
      <c r="C59" s="3" t="s">
        <v>179</v>
      </c>
      <c r="D59" s="5" t="s">
        <v>8</v>
      </c>
      <c r="E59" s="6">
        <f>VALUE(4800)</f>
        <v>4800</v>
      </c>
      <c r="F59" s="5" t="s">
        <v>10</v>
      </c>
    </row>
    <row r="60" spans="1:6" ht="29">
      <c r="A60" s="1" t="s">
        <v>180</v>
      </c>
      <c r="B60" s="4" t="s">
        <v>181</v>
      </c>
      <c r="C60" s="3" t="s">
        <v>182</v>
      </c>
      <c r="D60" s="5" t="s">
        <v>8</v>
      </c>
      <c r="E60" s="6">
        <f>VALUE(3600)</f>
        <v>3600</v>
      </c>
      <c r="F60" s="5" t="s">
        <v>10</v>
      </c>
    </row>
    <row r="61" spans="1:6" ht="29">
      <c r="A61" s="1" t="s">
        <v>183</v>
      </c>
      <c r="B61" s="4" t="s">
        <v>184</v>
      </c>
      <c r="C61" s="3" t="s">
        <v>185</v>
      </c>
      <c r="D61" s="5" t="s">
        <v>8</v>
      </c>
      <c r="E61" s="6">
        <f>VALUE(2212.5)</f>
        <v>2212.5</v>
      </c>
      <c r="F61" s="5" t="s">
        <v>10</v>
      </c>
    </row>
    <row r="62" spans="1:6" ht="29">
      <c r="A62" s="1" t="s">
        <v>186</v>
      </c>
      <c r="B62" s="4" t="s">
        <v>187</v>
      </c>
      <c r="C62" s="3" t="s">
        <v>188</v>
      </c>
      <c r="D62" s="5" t="s">
        <v>8</v>
      </c>
      <c r="E62" s="6">
        <f>VALUE(2950)</f>
        <v>2950</v>
      </c>
      <c r="F62" s="5" t="s">
        <v>10</v>
      </c>
    </row>
    <row r="63" spans="1:6" ht="29">
      <c r="A63" s="1" t="s">
        <v>189</v>
      </c>
      <c r="B63" s="4" t="s">
        <v>190</v>
      </c>
      <c r="C63" s="3" t="s">
        <v>191</v>
      </c>
      <c r="D63" s="5" t="s">
        <v>8</v>
      </c>
      <c r="E63" s="6">
        <f>VALUE(2212.5)</f>
        <v>2212.5</v>
      </c>
      <c r="F63" s="5" t="s">
        <v>10</v>
      </c>
    </row>
    <row r="64" spans="1:6" ht="29">
      <c r="A64" s="1" t="s">
        <v>192</v>
      </c>
      <c r="B64" s="4" t="s">
        <v>193</v>
      </c>
      <c r="C64" s="3" t="s">
        <v>194</v>
      </c>
      <c r="D64" s="5" t="s">
        <v>8</v>
      </c>
      <c r="E64" s="6">
        <f>VALUE(2362.5)</f>
        <v>2362.5</v>
      </c>
      <c r="F64" s="5" t="s">
        <v>10</v>
      </c>
    </row>
    <row r="65" spans="1:6" ht="29">
      <c r="A65" s="1" t="s">
        <v>195</v>
      </c>
      <c r="B65" s="4" t="s">
        <v>196</v>
      </c>
      <c r="C65" s="3" t="s">
        <v>197</v>
      </c>
      <c r="D65" s="5" t="s">
        <v>8</v>
      </c>
      <c r="E65" s="6">
        <f>VALUE(3150)</f>
        <v>3150</v>
      </c>
      <c r="F65" s="5" t="s">
        <v>10</v>
      </c>
    </row>
    <row r="66" spans="1:6" ht="29">
      <c r="A66" s="1" t="s">
        <v>198</v>
      </c>
      <c r="B66" s="4" t="s">
        <v>199</v>
      </c>
      <c r="C66" s="3" t="s">
        <v>200</v>
      </c>
      <c r="D66" s="5" t="s">
        <v>8</v>
      </c>
      <c r="E66" s="6">
        <f>VALUE(2362.5)</f>
        <v>2362.5</v>
      </c>
      <c r="F66" s="5" t="s">
        <v>10</v>
      </c>
    </row>
    <row r="67" spans="1:6" ht="43.5">
      <c r="A67" s="1" t="s">
        <v>201</v>
      </c>
      <c r="B67" s="4" t="s">
        <v>202</v>
      </c>
      <c r="C67" s="3" t="s">
        <v>203</v>
      </c>
      <c r="D67" s="5" t="s">
        <v>8</v>
      </c>
      <c r="E67" s="6">
        <f>VALUE(1350)</f>
        <v>1350</v>
      </c>
      <c r="F67" s="5" t="s">
        <v>10</v>
      </c>
    </row>
    <row r="68" spans="1:6" ht="43.5">
      <c r="A68" s="1" t="s">
        <v>204</v>
      </c>
      <c r="B68" s="4" t="s">
        <v>205</v>
      </c>
      <c r="C68" s="3" t="s">
        <v>206</v>
      </c>
      <c r="D68" s="5" t="s">
        <v>8</v>
      </c>
      <c r="E68" s="6">
        <f>VALUE(1800)</f>
        <v>1800</v>
      </c>
      <c r="F68" s="5" t="s">
        <v>10</v>
      </c>
    </row>
    <row r="69" spans="1:6" ht="29">
      <c r="A69" s="1" t="s">
        <v>207</v>
      </c>
      <c r="B69" s="4" t="s">
        <v>208</v>
      </c>
      <c r="C69" s="3" t="s">
        <v>209</v>
      </c>
      <c r="D69" s="5" t="s">
        <v>8</v>
      </c>
      <c r="E69" s="6">
        <f>VALUE(1350)</f>
        <v>1350</v>
      </c>
      <c r="F69" s="5" t="s">
        <v>10</v>
      </c>
    </row>
    <row r="70" spans="1:6" ht="43.5">
      <c r="A70" s="1" t="s">
        <v>210</v>
      </c>
      <c r="B70" s="4" t="s">
        <v>211</v>
      </c>
      <c r="C70" s="3" t="s">
        <v>212</v>
      </c>
      <c r="D70" s="5" t="s">
        <v>8</v>
      </c>
      <c r="E70" s="6">
        <f>VALUE(2250)</f>
        <v>2250</v>
      </c>
      <c r="F70" s="5" t="s">
        <v>10</v>
      </c>
    </row>
    <row r="71" spans="1:6" ht="43.5">
      <c r="A71" s="1" t="s">
        <v>213</v>
      </c>
      <c r="B71" s="4" t="s">
        <v>214</v>
      </c>
      <c r="C71" s="3" t="s">
        <v>215</v>
      </c>
      <c r="D71" s="5" t="s">
        <v>8</v>
      </c>
      <c r="E71" s="6">
        <f>VALUE(3000)</f>
        <v>3000</v>
      </c>
      <c r="F71" s="5" t="s">
        <v>10</v>
      </c>
    </row>
    <row r="72" spans="1:6" ht="29">
      <c r="A72" s="1" t="s">
        <v>216</v>
      </c>
      <c r="B72" s="4" t="s">
        <v>217</v>
      </c>
      <c r="C72" s="3" t="s">
        <v>218</v>
      </c>
      <c r="D72" s="5" t="s">
        <v>8</v>
      </c>
      <c r="E72" s="6">
        <f>VALUE(2250)</f>
        <v>2250</v>
      </c>
      <c r="F72" s="5" t="s">
        <v>10</v>
      </c>
    </row>
    <row r="73" spans="1:6" ht="43.5">
      <c r="A73" s="1" t="s">
        <v>219</v>
      </c>
      <c r="B73" s="4" t="s">
        <v>220</v>
      </c>
      <c r="C73" s="3" t="s">
        <v>221</v>
      </c>
      <c r="D73" s="5" t="s">
        <v>8</v>
      </c>
      <c r="E73" s="6">
        <f>VALUE(3000)</f>
        <v>3000</v>
      </c>
      <c r="F73" s="5" t="s">
        <v>10</v>
      </c>
    </row>
    <row r="74" spans="1:6" ht="43.5">
      <c r="A74" s="1" t="s">
        <v>222</v>
      </c>
      <c r="B74" s="4" t="s">
        <v>223</v>
      </c>
      <c r="C74" s="3" t="s">
        <v>224</v>
      </c>
      <c r="D74" s="5" t="s">
        <v>8</v>
      </c>
      <c r="E74" s="6">
        <f>VALUE(4000)</f>
        <v>4000</v>
      </c>
      <c r="F74" s="5" t="s">
        <v>10</v>
      </c>
    </row>
    <row r="75" spans="1:6" ht="29">
      <c r="A75" s="1" t="s">
        <v>225</v>
      </c>
      <c r="B75" s="4" t="s">
        <v>226</v>
      </c>
      <c r="C75" s="3" t="s">
        <v>227</v>
      </c>
      <c r="D75" s="5" t="s">
        <v>8</v>
      </c>
      <c r="E75" s="6">
        <f>VALUE(3000)</f>
        <v>3000</v>
      </c>
      <c r="F75" s="5" t="s">
        <v>10</v>
      </c>
    </row>
    <row r="76" spans="1:6" ht="29">
      <c r="A76" s="1" t="s">
        <v>228</v>
      </c>
      <c r="B76" s="4" t="s">
        <v>229</v>
      </c>
      <c r="C76" s="3" t="s">
        <v>230</v>
      </c>
      <c r="D76" s="5" t="s">
        <v>8</v>
      </c>
      <c r="E76" s="6">
        <f>VALUE(449.25)</f>
        <v>449.25</v>
      </c>
      <c r="F76" s="5" t="s">
        <v>10</v>
      </c>
    </row>
    <row r="77" spans="1:6" ht="29">
      <c r="A77" s="1" t="s">
        <v>231</v>
      </c>
      <c r="B77" s="4" t="s">
        <v>232</v>
      </c>
      <c r="C77" s="3" t="s">
        <v>233</v>
      </c>
      <c r="D77" s="5" t="s">
        <v>8</v>
      </c>
      <c r="E77" s="6">
        <f>VALUE(599)</f>
        <v>599</v>
      </c>
      <c r="F77" s="5" t="s">
        <v>10</v>
      </c>
    </row>
    <row r="78" spans="1:6" ht="29">
      <c r="A78" s="1" t="s">
        <v>234</v>
      </c>
      <c r="B78" s="4" t="s">
        <v>235</v>
      </c>
      <c r="C78" s="3" t="s">
        <v>236</v>
      </c>
      <c r="D78" s="5" t="s">
        <v>8</v>
      </c>
      <c r="E78" s="6">
        <f>VALUE(449.25)</f>
        <v>449.25</v>
      </c>
      <c r="F78" s="5" t="s">
        <v>10</v>
      </c>
    </row>
    <row r="79" spans="1:6" ht="29">
      <c r="A79" s="1" t="s">
        <v>237</v>
      </c>
      <c r="B79" s="4" t="s">
        <v>238</v>
      </c>
      <c r="C79" s="3" t="s">
        <v>239</v>
      </c>
      <c r="D79" s="5" t="s">
        <v>8</v>
      </c>
      <c r="E79" s="6">
        <f>VALUE(3735)</f>
        <v>3735</v>
      </c>
      <c r="F79" s="5" t="s">
        <v>10</v>
      </c>
    </row>
    <row r="80" spans="1:6" ht="29">
      <c r="A80" s="1" t="s">
        <v>240</v>
      </c>
      <c r="B80" s="4" t="s">
        <v>241</v>
      </c>
      <c r="C80" s="3" t="s">
        <v>242</v>
      </c>
      <c r="D80" s="5" t="s">
        <v>8</v>
      </c>
      <c r="E80" s="6">
        <f>VALUE(4980)</f>
        <v>4980</v>
      </c>
      <c r="F80" s="5" t="s">
        <v>10</v>
      </c>
    </row>
    <row r="81" spans="1:6" ht="29">
      <c r="A81" s="1" t="s">
        <v>243</v>
      </c>
      <c r="B81" s="4" t="s">
        <v>244</v>
      </c>
      <c r="C81" s="3" t="s">
        <v>245</v>
      </c>
      <c r="D81" s="5" t="s">
        <v>8</v>
      </c>
      <c r="E81" s="6">
        <f>VALUE(3735)</f>
        <v>3735</v>
      </c>
      <c r="F81" s="5" t="s">
        <v>10</v>
      </c>
    </row>
    <row r="82" spans="1:6" ht="29">
      <c r="A82" s="1" t="s">
        <v>246</v>
      </c>
      <c r="B82" s="4" t="s">
        <v>247</v>
      </c>
      <c r="C82" s="3" t="s">
        <v>248</v>
      </c>
      <c r="D82" s="5" t="s">
        <v>8</v>
      </c>
      <c r="E82" s="6">
        <f>VALUE(13424.25)</f>
        <v>13424.25</v>
      </c>
      <c r="F82" s="5" t="s">
        <v>10</v>
      </c>
    </row>
    <row r="83" spans="1:6" ht="29">
      <c r="A83" s="1" t="s">
        <v>249</v>
      </c>
      <c r="B83" s="4" t="s">
        <v>250</v>
      </c>
      <c r="C83" s="3" t="s">
        <v>251</v>
      </c>
      <c r="D83" s="5" t="s">
        <v>8</v>
      </c>
      <c r="E83" s="6">
        <f>VALUE(5774.25)</f>
        <v>5774.25</v>
      </c>
      <c r="F83" s="5" t="s">
        <v>10</v>
      </c>
    </row>
    <row r="84" spans="1:6" ht="29">
      <c r="A84" s="1" t="s">
        <v>252</v>
      </c>
      <c r="B84" s="4" t="s">
        <v>253</v>
      </c>
      <c r="C84" s="3" t="s">
        <v>254</v>
      </c>
      <c r="D84" s="5" t="s">
        <v>8</v>
      </c>
      <c r="E84" s="6">
        <f>VALUE(7699)</f>
        <v>7699</v>
      </c>
      <c r="F84" s="5" t="s">
        <v>10</v>
      </c>
    </row>
    <row r="85" spans="1:6" ht="29">
      <c r="A85" s="1" t="s">
        <v>255</v>
      </c>
      <c r="B85" s="4" t="s">
        <v>256</v>
      </c>
      <c r="C85" s="3" t="s">
        <v>257</v>
      </c>
      <c r="D85" s="5" t="s">
        <v>8</v>
      </c>
      <c r="E85" s="6">
        <f>VALUE(5774.25)</f>
        <v>5774.25</v>
      </c>
      <c r="F85" s="5" t="s">
        <v>10</v>
      </c>
    </row>
    <row r="86" spans="1:6" ht="29">
      <c r="A86" s="1" t="s">
        <v>258</v>
      </c>
      <c r="B86" s="4" t="s">
        <v>259</v>
      </c>
      <c r="C86" s="3" t="s">
        <v>260</v>
      </c>
      <c r="D86" s="5" t="s">
        <v>8</v>
      </c>
      <c r="E86" s="6">
        <f>VALUE(299.25)</f>
        <v>299.25</v>
      </c>
      <c r="F86" s="5" t="s">
        <v>10</v>
      </c>
    </row>
    <row r="87" spans="1:6" ht="29">
      <c r="A87" s="1" t="s">
        <v>261</v>
      </c>
      <c r="B87" s="4" t="s">
        <v>262</v>
      </c>
      <c r="C87" s="3" t="s">
        <v>263</v>
      </c>
      <c r="D87" s="5" t="s">
        <v>8</v>
      </c>
      <c r="E87" s="6">
        <f>VALUE(399)</f>
        <v>399</v>
      </c>
      <c r="F87" s="5" t="s">
        <v>10</v>
      </c>
    </row>
    <row r="88" spans="1:6" ht="29">
      <c r="A88" s="1" t="s">
        <v>264</v>
      </c>
      <c r="B88" s="4" t="s">
        <v>265</v>
      </c>
      <c r="C88" s="3" t="s">
        <v>266</v>
      </c>
      <c r="D88" s="5" t="s">
        <v>8</v>
      </c>
      <c r="E88" s="6">
        <f>VALUE(299.25)</f>
        <v>299.25</v>
      </c>
      <c r="F88" s="5" t="s">
        <v>10</v>
      </c>
    </row>
    <row r="89" spans="1:6" ht="29">
      <c r="A89" s="1" t="s">
        <v>267</v>
      </c>
      <c r="B89" s="4" t="s">
        <v>268</v>
      </c>
      <c r="C89" s="3" t="s">
        <v>269</v>
      </c>
      <c r="D89" s="5" t="s">
        <v>8</v>
      </c>
      <c r="E89" s="6">
        <f>VALUE(209.25)</f>
        <v>209.25</v>
      </c>
      <c r="F89" s="5" t="s">
        <v>10</v>
      </c>
    </row>
    <row r="90" spans="1:6" ht="29">
      <c r="A90" s="1" t="s">
        <v>270</v>
      </c>
      <c r="B90" s="4" t="s">
        <v>271</v>
      </c>
      <c r="C90" s="3" t="s">
        <v>272</v>
      </c>
      <c r="D90" s="5" t="s">
        <v>8</v>
      </c>
      <c r="E90" s="6">
        <f>VALUE(279)</f>
        <v>279</v>
      </c>
      <c r="F90" s="5" t="s">
        <v>10</v>
      </c>
    </row>
    <row r="91" spans="1:6" ht="29">
      <c r="A91" s="1" t="s">
        <v>273</v>
      </c>
      <c r="B91" s="4" t="s">
        <v>274</v>
      </c>
      <c r="C91" s="3" t="s">
        <v>275</v>
      </c>
      <c r="D91" s="5" t="s">
        <v>8</v>
      </c>
      <c r="E91" s="6">
        <f>VALUE(209.25)</f>
        <v>209.25</v>
      </c>
      <c r="F91" s="5" t="s">
        <v>10</v>
      </c>
    </row>
    <row r="92" spans="1:6" ht="29">
      <c r="A92" s="1" t="s">
        <v>276</v>
      </c>
      <c r="B92" s="4" t="s">
        <v>277</v>
      </c>
      <c r="C92" s="3" t="s">
        <v>278</v>
      </c>
      <c r="D92" s="5" t="s">
        <v>8</v>
      </c>
      <c r="E92" s="6">
        <f>VALUE(201.75)</f>
        <v>201.75</v>
      </c>
      <c r="F92" s="5" t="s">
        <v>10</v>
      </c>
    </row>
    <row r="93" spans="1:6" ht="29">
      <c r="A93" s="1" t="s">
        <v>279</v>
      </c>
      <c r="B93" s="4" t="s">
        <v>280</v>
      </c>
      <c r="C93" s="3" t="s">
        <v>281</v>
      </c>
      <c r="D93" s="5" t="s">
        <v>8</v>
      </c>
      <c r="E93" s="6">
        <f>VALUE(269)</f>
        <v>269</v>
      </c>
      <c r="F93" s="5" t="s">
        <v>10</v>
      </c>
    </row>
    <row r="94" spans="1:6" ht="29">
      <c r="A94" s="1" t="s">
        <v>282</v>
      </c>
      <c r="B94" s="4" t="s">
        <v>283</v>
      </c>
      <c r="C94" s="3" t="s">
        <v>284</v>
      </c>
      <c r="D94" s="5" t="s">
        <v>8</v>
      </c>
      <c r="E94" s="6">
        <f>VALUE(201.75)</f>
        <v>201.75</v>
      </c>
      <c r="F94" s="5" t="s">
        <v>10</v>
      </c>
    </row>
    <row r="95" spans="1:6" ht="29">
      <c r="A95" s="1" t="s">
        <v>285</v>
      </c>
      <c r="B95" s="4" t="s">
        <v>286</v>
      </c>
      <c r="C95" s="3" t="s">
        <v>287</v>
      </c>
      <c r="D95" s="5" t="s">
        <v>8</v>
      </c>
      <c r="E95" s="6">
        <f>VALUE(89.25)</f>
        <v>89.25</v>
      </c>
      <c r="F95" s="5" t="s">
        <v>10</v>
      </c>
    </row>
    <row r="96" spans="1:6" ht="29">
      <c r="A96" s="1" t="s">
        <v>288</v>
      </c>
      <c r="B96" s="4" t="s">
        <v>289</v>
      </c>
      <c r="C96" s="3" t="s">
        <v>290</v>
      </c>
      <c r="D96" s="5" t="s">
        <v>8</v>
      </c>
      <c r="E96" s="6">
        <f>VALUE(119)</f>
        <v>119</v>
      </c>
      <c r="F96" s="5" t="s">
        <v>10</v>
      </c>
    </row>
    <row r="97" spans="1:6" ht="29">
      <c r="A97" s="1" t="s">
        <v>291</v>
      </c>
      <c r="B97" s="4" t="s">
        <v>292</v>
      </c>
      <c r="C97" s="3" t="s">
        <v>293</v>
      </c>
      <c r="D97" s="5" t="s">
        <v>8</v>
      </c>
      <c r="E97" s="6">
        <f>VALUE(89.25)</f>
        <v>89.25</v>
      </c>
      <c r="F97" s="5" t="s">
        <v>10</v>
      </c>
    </row>
    <row r="98" spans="1:6" ht="29">
      <c r="A98" s="1" t="s">
        <v>294</v>
      </c>
      <c r="B98" s="4" t="s">
        <v>295</v>
      </c>
      <c r="C98" s="3" t="s">
        <v>296</v>
      </c>
      <c r="D98" s="5" t="s">
        <v>8</v>
      </c>
      <c r="E98" s="6">
        <f>VALUE(89.25)</f>
        <v>89.25</v>
      </c>
      <c r="F98" s="5" t="s">
        <v>10</v>
      </c>
    </row>
    <row r="99" spans="1:6" ht="43.5">
      <c r="A99" s="1" t="s">
        <v>297</v>
      </c>
      <c r="B99" s="4" t="s">
        <v>298</v>
      </c>
      <c r="C99" s="3" t="s">
        <v>299</v>
      </c>
      <c r="D99" s="5" t="s">
        <v>8</v>
      </c>
      <c r="E99" s="6">
        <f>VALUE(119)</f>
        <v>119</v>
      </c>
      <c r="F99" s="5" t="s">
        <v>10</v>
      </c>
    </row>
    <row r="100" spans="1:6" ht="43.5">
      <c r="A100" s="1" t="s">
        <v>300</v>
      </c>
      <c r="B100" s="4" t="s">
        <v>301</v>
      </c>
      <c r="C100" s="3" t="s">
        <v>302</v>
      </c>
      <c r="D100" s="5" t="s">
        <v>8</v>
      </c>
      <c r="E100" s="6">
        <f>VALUE(89.25)</f>
        <v>89.25</v>
      </c>
      <c r="F100" s="5" t="s">
        <v>10</v>
      </c>
    </row>
    <row r="101" spans="1:6" ht="29">
      <c r="A101" s="1" t="s">
        <v>303</v>
      </c>
      <c r="B101" s="4" t="s">
        <v>304</v>
      </c>
      <c r="C101" s="3" t="s">
        <v>305</v>
      </c>
      <c r="D101" s="5" t="s">
        <v>8</v>
      </c>
      <c r="E101" s="6">
        <f>VALUE(81.75)</f>
        <v>81.75</v>
      </c>
      <c r="F101" s="5" t="s">
        <v>10</v>
      </c>
    </row>
    <row r="102" spans="1:6" ht="29">
      <c r="A102" s="1" t="s">
        <v>306</v>
      </c>
      <c r="B102" s="4" t="s">
        <v>307</v>
      </c>
      <c r="C102" s="3" t="s">
        <v>308</v>
      </c>
      <c r="D102" s="5" t="s">
        <v>8</v>
      </c>
      <c r="E102" s="6">
        <f>VALUE(109)</f>
        <v>109</v>
      </c>
      <c r="F102" s="5" t="s">
        <v>10</v>
      </c>
    </row>
    <row r="103" spans="1:6" ht="29">
      <c r="A103" s="1" t="s">
        <v>309</v>
      </c>
      <c r="B103" s="4" t="s">
        <v>310</v>
      </c>
      <c r="C103" s="3" t="s">
        <v>311</v>
      </c>
      <c r="D103" s="5" t="s">
        <v>8</v>
      </c>
      <c r="E103" s="6">
        <f>VALUE(81.75)</f>
        <v>81.75</v>
      </c>
      <c r="F103" s="5" t="s">
        <v>10</v>
      </c>
    </row>
    <row r="104" spans="1:6" ht="43.5">
      <c r="A104" s="1" t="s">
        <v>312</v>
      </c>
      <c r="B104" s="4" t="s">
        <v>313</v>
      </c>
      <c r="C104" s="3" t="s">
        <v>314</v>
      </c>
      <c r="D104" s="5" t="s">
        <v>8</v>
      </c>
      <c r="E104" s="6">
        <f>VALUE(5999)</f>
        <v>5999</v>
      </c>
      <c r="F104" s="5" t="s">
        <v>10</v>
      </c>
    </row>
    <row r="105" spans="1:6" ht="43.5">
      <c r="A105" s="1" t="s">
        <v>315</v>
      </c>
      <c r="B105" s="4" t="s">
        <v>316</v>
      </c>
      <c r="C105" s="3" t="s">
        <v>317</v>
      </c>
      <c r="D105" s="5" t="s">
        <v>8</v>
      </c>
      <c r="E105" s="6">
        <f>VALUE(4499.25)</f>
        <v>4499.25</v>
      </c>
      <c r="F105" s="5" t="s">
        <v>10</v>
      </c>
    </row>
    <row r="106" spans="1:6" ht="43.5">
      <c r="A106" s="1" t="s">
        <v>318</v>
      </c>
      <c r="B106" s="4" t="s">
        <v>319</v>
      </c>
      <c r="C106" s="3" t="s">
        <v>320</v>
      </c>
      <c r="D106" s="5" t="s">
        <v>8</v>
      </c>
      <c r="E106" s="6">
        <f>VALUE(4440)</f>
        <v>4440</v>
      </c>
      <c r="F106" s="5" t="s">
        <v>10</v>
      </c>
    </row>
    <row r="107" spans="1:6" ht="43.5">
      <c r="A107" s="1" t="s">
        <v>321</v>
      </c>
      <c r="B107" s="4" t="s">
        <v>322</v>
      </c>
      <c r="C107" s="3" t="s">
        <v>323</v>
      </c>
      <c r="D107" s="5" t="s">
        <v>8</v>
      </c>
      <c r="E107" s="6">
        <f>VALUE(5920)</f>
        <v>5920</v>
      </c>
      <c r="F107" s="5" t="s">
        <v>10</v>
      </c>
    </row>
    <row r="108" spans="1:6" ht="43.5">
      <c r="A108" s="1" t="s">
        <v>324</v>
      </c>
      <c r="B108" s="4" t="s">
        <v>325</v>
      </c>
      <c r="C108" s="3" t="s">
        <v>326</v>
      </c>
      <c r="D108" s="5" t="s">
        <v>8</v>
      </c>
      <c r="E108" s="6">
        <f>VALUE(4440)</f>
        <v>4440</v>
      </c>
      <c r="F108" s="5" t="s">
        <v>10</v>
      </c>
    </row>
    <row r="109" spans="1:6" ht="29">
      <c r="A109" s="1" t="s">
        <v>327</v>
      </c>
      <c r="B109" s="4" t="s">
        <v>328</v>
      </c>
      <c r="C109" s="3" t="s">
        <v>329</v>
      </c>
      <c r="D109" s="5" t="s">
        <v>8</v>
      </c>
      <c r="E109" s="6">
        <f>VALUE(3744.75)</f>
        <v>3744.75</v>
      </c>
      <c r="F109" s="5" t="s">
        <v>10</v>
      </c>
    </row>
    <row r="110" spans="1:6" ht="29">
      <c r="A110" s="1" t="s">
        <v>330</v>
      </c>
      <c r="B110" s="4" t="s">
        <v>331</v>
      </c>
      <c r="C110" s="3" t="s">
        <v>332</v>
      </c>
      <c r="D110" s="5" t="s">
        <v>8</v>
      </c>
      <c r="E110" s="6">
        <f>VALUE(4993)</f>
        <v>4993</v>
      </c>
      <c r="F110" s="5" t="s">
        <v>10</v>
      </c>
    </row>
    <row r="111" spans="1:6" ht="43.5">
      <c r="A111" s="1" t="s">
        <v>333</v>
      </c>
      <c r="B111" s="4" t="s">
        <v>334</v>
      </c>
      <c r="C111" s="3" t="s">
        <v>335</v>
      </c>
      <c r="D111" s="5" t="s">
        <v>8</v>
      </c>
      <c r="E111" s="6">
        <f>VALUE(3744.75)</f>
        <v>3744.75</v>
      </c>
      <c r="F111" s="5" t="s">
        <v>10</v>
      </c>
    </row>
    <row r="112" spans="1:6" ht="29">
      <c r="A112" s="1" t="s">
        <v>336</v>
      </c>
      <c r="B112" s="4" t="s">
        <v>337</v>
      </c>
      <c r="C112" s="3" t="s">
        <v>338</v>
      </c>
      <c r="D112" s="5" t="s">
        <v>8</v>
      </c>
      <c r="E112" s="6">
        <f>VALUE(3390)</f>
        <v>3390</v>
      </c>
      <c r="F112" s="5" t="s">
        <v>10</v>
      </c>
    </row>
    <row r="113" spans="1:6" ht="29">
      <c r="A113" s="1" t="s">
        <v>339</v>
      </c>
      <c r="B113" s="4" t="s">
        <v>340</v>
      </c>
      <c r="C113" s="3" t="s">
        <v>341</v>
      </c>
      <c r="D113" s="5" t="s">
        <v>8</v>
      </c>
      <c r="E113" s="6">
        <f>VALUE(4520)</f>
        <v>4520</v>
      </c>
      <c r="F113" s="5" t="s">
        <v>10</v>
      </c>
    </row>
    <row r="114" spans="1:6" ht="43.5">
      <c r="A114" s="1" t="s">
        <v>342</v>
      </c>
      <c r="B114" s="4" t="s">
        <v>343</v>
      </c>
      <c r="C114" s="3" t="s">
        <v>344</v>
      </c>
      <c r="D114" s="5" t="s">
        <v>8</v>
      </c>
      <c r="E114" s="6">
        <f>VALUE(3390)</f>
        <v>3390</v>
      </c>
      <c r="F114" s="5" t="s">
        <v>10</v>
      </c>
    </row>
    <row r="115" spans="1:6" ht="29">
      <c r="A115" s="1" t="s">
        <v>345</v>
      </c>
      <c r="B115" s="4" t="s">
        <v>346</v>
      </c>
      <c r="C115" s="3" t="s">
        <v>347</v>
      </c>
      <c r="D115" s="5" t="s">
        <v>8</v>
      </c>
      <c r="E115" s="6">
        <f>VALUE(2924.25)</f>
        <v>2924.25</v>
      </c>
      <c r="F115" s="5" t="s">
        <v>10</v>
      </c>
    </row>
    <row r="116" spans="1:6" ht="29">
      <c r="A116" s="1" t="s">
        <v>348</v>
      </c>
      <c r="B116" s="4" t="s">
        <v>349</v>
      </c>
      <c r="C116" s="3" t="s">
        <v>350</v>
      </c>
      <c r="D116" s="5" t="s">
        <v>8</v>
      </c>
      <c r="E116" s="6">
        <f>VALUE(3899)</f>
        <v>3899</v>
      </c>
      <c r="F116" s="5" t="s">
        <v>10</v>
      </c>
    </row>
    <row r="117" spans="1:6" ht="43.5">
      <c r="A117" s="1" t="s">
        <v>351</v>
      </c>
      <c r="B117" s="4" t="s">
        <v>352</v>
      </c>
      <c r="C117" s="3" t="s">
        <v>353</v>
      </c>
      <c r="D117" s="5" t="s">
        <v>8</v>
      </c>
      <c r="E117" s="6">
        <f>VALUE(2924.25)</f>
        <v>2924.25</v>
      </c>
      <c r="F117" s="5" t="s">
        <v>10</v>
      </c>
    </row>
    <row r="118" spans="1:6" ht="29">
      <c r="A118" s="1" t="s">
        <v>354</v>
      </c>
      <c r="B118" s="4" t="s">
        <v>355</v>
      </c>
      <c r="C118" s="3" t="s">
        <v>356</v>
      </c>
      <c r="D118" s="5" t="s">
        <v>8</v>
      </c>
      <c r="E118" s="6">
        <f>VALUE(9.75)</f>
        <v>9.75</v>
      </c>
      <c r="F118" s="5" t="s">
        <v>10</v>
      </c>
    </row>
    <row r="119" spans="1:6" ht="29">
      <c r="A119" s="1" t="s">
        <v>357</v>
      </c>
      <c r="B119" s="4" t="s">
        <v>358</v>
      </c>
      <c r="C119" s="3" t="s">
        <v>359</v>
      </c>
      <c r="D119" s="5" t="s">
        <v>8</v>
      </c>
      <c r="E119" s="6">
        <f>VALUE(13)</f>
        <v>13</v>
      </c>
      <c r="F119" s="5" t="s">
        <v>10</v>
      </c>
    </row>
    <row r="120" spans="1:6" ht="29">
      <c r="A120" s="1" t="s">
        <v>360</v>
      </c>
      <c r="B120" s="4" t="s">
        <v>361</v>
      </c>
      <c r="C120" s="3" t="s">
        <v>362</v>
      </c>
      <c r="D120" s="5" t="s">
        <v>8</v>
      </c>
      <c r="E120" s="6">
        <f>VALUE(9.75)</f>
        <v>9.75</v>
      </c>
      <c r="F120" s="5" t="s">
        <v>10</v>
      </c>
    </row>
    <row r="121" spans="1:6" ht="29">
      <c r="A121" s="1" t="s">
        <v>363</v>
      </c>
      <c r="B121" s="4" t="s">
        <v>364</v>
      </c>
      <c r="C121" s="3" t="s">
        <v>365</v>
      </c>
      <c r="D121" s="5" t="s">
        <v>8</v>
      </c>
      <c r="E121" s="6">
        <f>VALUE(749.75)</f>
        <v>749.75</v>
      </c>
      <c r="F121" s="5" t="s">
        <v>10</v>
      </c>
    </row>
    <row r="122" spans="1:6" ht="43.5">
      <c r="A122" s="1" t="s">
        <v>366</v>
      </c>
      <c r="B122" s="4" t="s">
        <v>367</v>
      </c>
      <c r="C122" s="3" t="s">
        <v>368</v>
      </c>
      <c r="D122" s="5" t="s">
        <v>8</v>
      </c>
      <c r="E122" s="6">
        <f>VALUE(449.25)</f>
        <v>449.25</v>
      </c>
      <c r="F122" s="5" t="s">
        <v>10</v>
      </c>
    </row>
    <row r="123" spans="1:6" ht="29">
      <c r="A123" s="1" t="s">
        <v>369</v>
      </c>
      <c r="B123" s="4" t="s">
        <v>370</v>
      </c>
      <c r="C123" s="3" t="s">
        <v>371</v>
      </c>
      <c r="D123" s="5" t="s">
        <v>8</v>
      </c>
      <c r="E123" s="6">
        <f>VALUE(599)</f>
        <v>599</v>
      </c>
      <c r="F123" s="5" t="s">
        <v>10</v>
      </c>
    </row>
    <row r="124" spans="1:6" ht="29">
      <c r="A124" s="1" t="s">
        <v>372</v>
      </c>
      <c r="B124" s="4" t="s">
        <v>373</v>
      </c>
      <c r="C124" s="3" t="s">
        <v>374</v>
      </c>
      <c r="D124" s="5" t="s">
        <v>8</v>
      </c>
      <c r="E124" s="6">
        <f>VALUE(449.25)</f>
        <v>449.25</v>
      </c>
      <c r="F124" s="5" t="s">
        <v>10</v>
      </c>
    </row>
    <row r="125" spans="1:6">
      <c r="A125" s="1" t="s">
        <v>375</v>
      </c>
      <c r="B125" s="4" t="s">
        <v>376</v>
      </c>
      <c r="C125" s="3" t="s">
        <v>377</v>
      </c>
      <c r="D125" s="5" t="s">
        <v>8</v>
      </c>
      <c r="E125" s="6">
        <f>VALUE(3295)</f>
        <v>3295</v>
      </c>
      <c r="F125" s="5" t="s">
        <v>10</v>
      </c>
    </row>
    <row r="126" spans="1:6" ht="29">
      <c r="A126" s="1" t="s">
        <v>378</v>
      </c>
      <c r="B126" s="4" t="s">
        <v>379</v>
      </c>
      <c r="C126" s="3" t="s">
        <v>380</v>
      </c>
      <c r="D126" s="5" t="s">
        <v>8</v>
      </c>
      <c r="E126" s="6">
        <f>VALUE(374.75)</f>
        <v>374.75</v>
      </c>
      <c r="F126" s="5" t="s">
        <v>10</v>
      </c>
    </row>
    <row r="127" spans="1:6" ht="43.5">
      <c r="A127" s="1" t="s">
        <v>381</v>
      </c>
      <c r="B127" s="4" t="s">
        <v>382</v>
      </c>
      <c r="C127" s="3" t="s">
        <v>383</v>
      </c>
      <c r="D127" s="5" t="s">
        <v>8</v>
      </c>
      <c r="E127" s="6">
        <f>VALUE(1124.25)</f>
        <v>1124.25</v>
      </c>
      <c r="F127" s="5" t="s">
        <v>10</v>
      </c>
    </row>
    <row r="128" spans="1:6" ht="29">
      <c r="A128" s="1" t="s">
        <v>384</v>
      </c>
      <c r="B128" s="4" t="s">
        <v>385</v>
      </c>
      <c r="C128" s="3" t="s">
        <v>386</v>
      </c>
      <c r="D128" s="5" t="s">
        <v>8</v>
      </c>
      <c r="E128" s="6">
        <f>VALUE(1499)</f>
        <v>1499</v>
      </c>
      <c r="F128" s="5" t="s">
        <v>10</v>
      </c>
    </row>
    <row r="129" spans="1:6" ht="29">
      <c r="A129" s="1" t="s">
        <v>387</v>
      </c>
      <c r="B129" s="4" t="s">
        <v>388</v>
      </c>
      <c r="C129" s="3" t="s">
        <v>389</v>
      </c>
      <c r="D129" s="5" t="s">
        <v>8</v>
      </c>
      <c r="E129" s="6">
        <f>VALUE(1124.25)</f>
        <v>1124.25</v>
      </c>
      <c r="F129" s="5" t="s">
        <v>10</v>
      </c>
    </row>
    <row r="130" spans="1:6">
      <c r="A130" s="1" t="s">
        <v>390</v>
      </c>
      <c r="B130" s="4" t="s">
        <v>391</v>
      </c>
      <c r="C130" s="3" t="s">
        <v>392</v>
      </c>
      <c r="D130" s="5" t="s">
        <v>8</v>
      </c>
      <c r="E130" s="6">
        <f>VALUE(8245)</f>
        <v>8245</v>
      </c>
      <c r="F130" s="5" t="s">
        <v>10</v>
      </c>
    </row>
    <row r="131" spans="1:6" ht="29">
      <c r="A131" s="1" t="s">
        <v>393</v>
      </c>
      <c r="B131" s="4" t="s">
        <v>394</v>
      </c>
      <c r="C131" s="3" t="s">
        <v>395</v>
      </c>
      <c r="D131" s="5" t="s">
        <v>8</v>
      </c>
      <c r="E131" s="6">
        <f>VALUE(199.75)</f>
        <v>199.75</v>
      </c>
      <c r="F131" s="5" t="s">
        <v>10</v>
      </c>
    </row>
    <row r="132" spans="1:6" ht="43.5">
      <c r="A132" s="1" t="s">
        <v>396</v>
      </c>
      <c r="B132" s="4" t="s">
        <v>397</v>
      </c>
      <c r="C132" s="3" t="s">
        <v>398</v>
      </c>
      <c r="D132" s="5" t="s">
        <v>8</v>
      </c>
      <c r="E132" s="6">
        <f>VALUE(599.25)</f>
        <v>599.25</v>
      </c>
      <c r="F132" s="5" t="s">
        <v>10</v>
      </c>
    </row>
    <row r="133" spans="1:6" ht="43.5">
      <c r="A133" s="1" t="s">
        <v>399</v>
      </c>
      <c r="B133" s="4" t="s">
        <v>400</v>
      </c>
      <c r="C133" s="3" t="s">
        <v>401</v>
      </c>
      <c r="D133" s="5" t="s">
        <v>8</v>
      </c>
      <c r="E133" s="6">
        <f>VALUE(799)</f>
        <v>799</v>
      </c>
      <c r="F133" s="5" t="s">
        <v>10</v>
      </c>
    </row>
    <row r="134" spans="1:6" ht="43.5">
      <c r="A134" s="1" t="s">
        <v>402</v>
      </c>
      <c r="B134" s="4" t="s">
        <v>403</v>
      </c>
      <c r="C134" s="3" t="s">
        <v>404</v>
      </c>
      <c r="D134" s="5" t="s">
        <v>8</v>
      </c>
      <c r="E134" s="6">
        <f>VALUE(599.25)</f>
        <v>599.25</v>
      </c>
      <c r="F134" s="5" t="s">
        <v>10</v>
      </c>
    </row>
    <row r="135" spans="1:6" ht="29">
      <c r="A135" s="1" t="s">
        <v>405</v>
      </c>
      <c r="B135" s="4" t="s">
        <v>406</v>
      </c>
      <c r="C135" s="3" t="s">
        <v>407</v>
      </c>
      <c r="D135" s="5" t="s">
        <v>8</v>
      </c>
      <c r="E135" s="6">
        <f>VALUE(4395)</f>
        <v>4395</v>
      </c>
      <c r="F135" s="5" t="s">
        <v>10</v>
      </c>
    </row>
    <row r="136" spans="1:6" ht="29">
      <c r="A136" s="1" t="s">
        <v>408</v>
      </c>
      <c r="B136" s="4" t="s">
        <v>409</v>
      </c>
      <c r="C136" s="3" t="s">
        <v>410</v>
      </c>
      <c r="D136" s="5" t="s">
        <v>8</v>
      </c>
      <c r="E136" s="6">
        <f>VALUE(1249.75)</f>
        <v>1249.75</v>
      </c>
      <c r="F136" s="5" t="s">
        <v>10</v>
      </c>
    </row>
    <row r="137" spans="1:6" ht="43.5">
      <c r="A137" s="1" t="s">
        <v>411</v>
      </c>
      <c r="B137" s="4" t="s">
        <v>412</v>
      </c>
      <c r="C137" s="3" t="s">
        <v>413</v>
      </c>
      <c r="D137" s="5" t="s">
        <v>8</v>
      </c>
      <c r="E137" s="6">
        <f>VALUE(3749.25)</f>
        <v>3749.25</v>
      </c>
      <c r="F137" s="5" t="s">
        <v>10</v>
      </c>
    </row>
    <row r="138" spans="1:6" ht="43.5">
      <c r="A138" s="1" t="s">
        <v>414</v>
      </c>
      <c r="B138" s="4" t="s">
        <v>415</v>
      </c>
      <c r="C138" s="3" t="s">
        <v>416</v>
      </c>
      <c r="D138" s="5" t="s">
        <v>8</v>
      </c>
      <c r="E138" s="6">
        <f>VALUE(4999)</f>
        <v>4999</v>
      </c>
      <c r="F138" s="5" t="s">
        <v>10</v>
      </c>
    </row>
    <row r="139" spans="1:6" ht="43.5">
      <c r="A139" s="1" t="s">
        <v>417</v>
      </c>
      <c r="B139" s="4" t="s">
        <v>418</v>
      </c>
      <c r="C139" s="3" t="s">
        <v>419</v>
      </c>
      <c r="D139" s="5" t="s">
        <v>8</v>
      </c>
      <c r="E139" s="6">
        <f>VALUE(3749.25)</f>
        <v>3749.25</v>
      </c>
      <c r="F139" s="5" t="s">
        <v>10</v>
      </c>
    </row>
    <row r="140" spans="1:6" ht="29">
      <c r="A140" s="1" t="s">
        <v>420</v>
      </c>
      <c r="B140" s="4" t="s">
        <v>421</v>
      </c>
      <c r="C140" s="3" t="s">
        <v>422</v>
      </c>
      <c r="D140" s="5" t="s">
        <v>8</v>
      </c>
      <c r="E140" s="6">
        <f>VALUE(29695)</f>
        <v>29695</v>
      </c>
      <c r="F140" s="5" t="s">
        <v>10</v>
      </c>
    </row>
    <row r="141" spans="1:6" ht="29">
      <c r="A141" s="1" t="s">
        <v>423</v>
      </c>
      <c r="B141" s="4" t="s">
        <v>424</v>
      </c>
      <c r="C141" s="3" t="s">
        <v>425</v>
      </c>
      <c r="D141" s="5" t="s">
        <v>8</v>
      </c>
      <c r="E141" s="6">
        <f>VALUE(1149.75)</f>
        <v>1149.75</v>
      </c>
      <c r="F141" s="5" t="s">
        <v>10</v>
      </c>
    </row>
    <row r="142" spans="1:6" ht="43.5">
      <c r="A142" s="1" t="s">
        <v>426</v>
      </c>
      <c r="B142" s="4" t="s">
        <v>427</v>
      </c>
      <c r="C142" s="3" t="s">
        <v>428</v>
      </c>
      <c r="D142" s="5" t="s">
        <v>8</v>
      </c>
      <c r="E142" s="6">
        <f>VALUE(3449.25)</f>
        <v>3449.25</v>
      </c>
      <c r="F142" s="5" t="s">
        <v>10</v>
      </c>
    </row>
    <row r="143" spans="1:6" ht="43.5">
      <c r="A143" s="1" t="s">
        <v>429</v>
      </c>
      <c r="B143" s="4" t="s">
        <v>430</v>
      </c>
      <c r="C143" s="3" t="s">
        <v>431</v>
      </c>
      <c r="D143" s="5" t="s">
        <v>8</v>
      </c>
      <c r="E143" s="6">
        <f>VALUE(4599)</f>
        <v>4599</v>
      </c>
      <c r="F143" s="5" t="s">
        <v>10</v>
      </c>
    </row>
    <row r="144" spans="1:6" ht="43.5">
      <c r="A144" s="1" t="s">
        <v>432</v>
      </c>
      <c r="B144" s="4" t="s">
        <v>433</v>
      </c>
      <c r="C144" s="3" t="s">
        <v>434</v>
      </c>
      <c r="D144" s="5" t="s">
        <v>8</v>
      </c>
      <c r="E144" s="6">
        <f>VALUE(3449.25)</f>
        <v>3449.25</v>
      </c>
      <c r="F144" s="5" t="s">
        <v>10</v>
      </c>
    </row>
    <row r="145" spans="1:6" ht="29">
      <c r="A145" s="1" t="s">
        <v>435</v>
      </c>
      <c r="B145" s="4" t="s">
        <v>436</v>
      </c>
      <c r="C145" s="3" t="s">
        <v>437</v>
      </c>
      <c r="D145" s="5" t="s">
        <v>8</v>
      </c>
      <c r="E145" s="6">
        <f>VALUE(27325)</f>
        <v>27325</v>
      </c>
      <c r="F145" s="5" t="s">
        <v>10</v>
      </c>
    </row>
    <row r="146" spans="1:6" ht="29">
      <c r="A146" s="1" t="s">
        <v>438</v>
      </c>
      <c r="B146" s="4" t="s">
        <v>439</v>
      </c>
      <c r="C146" s="3" t="s">
        <v>440</v>
      </c>
      <c r="D146" s="5" t="s">
        <v>8</v>
      </c>
      <c r="E146" s="6">
        <f>VALUE(4999.75)</f>
        <v>4999.75</v>
      </c>
      <c r="F146" s="5" t="s">
        <v>10</v>
      </c>
    </row>
    <row r="147" spans="1:6" ht="43.5">
      <c r="A147" s="1" t="s">
        <v>441</v>
      </c>
      <c r="B147" s="4" t="s">
        <v>442</v>
      </c>
      <c r="C147" s="3" t="s">
        <v>443</v>
      </c>
      <c r="D147" s="5" t="s">
        <v>8</v>
      </c>
      <c r="E147" s="6">
        <f>VALUE(14999.25)</f>
        <v>14999.25</v>
      </c>
      <c r="F147" s="5" t="s">
        <v>10</v>
      </c>
    </row>
    <row r="148" spans="1:6" ht="29">
      <c r="A148" s="1" t="s">
        <v>444</v>
      </c>
      <c r="B148" s="4" t="s">
        <v>445</v>
      </c>
      <c r="C148" s="3" t="s">
        <v>446</v>
      </c>
      <c r="D148" s="5" t="s">
        <v>8</v>
      </c>
      <c r="E148" s="6">
        <f>VALUE(19999)</f>
        <v>19999</v>
      </c>
      <c r="F148" s="5" t="s">
        <v>10</v>
      </c>
    </row>
    <row r="149" spans="1:6" ht="29">
      <c r="A149" s="1" t="s">
        <v>447</v>
      </c>
      <c r="B149" s="4" t="s">
        <v>448</v>
      </c>
      <c r="C149" s="3" t="s">
        <v>449</v>
      </c>
      <c r="D149" s="5" t="s">
        <v>8</v>
      </c>
      <c r="E149" s="6">
        <f>VALUE(14999.25)</f>
        <v>14999.25</v>
      </c>
      <c r="F149" s="5" t="s">
        <v>10</v>
      </c>
    </row>
    <row r="150" spans="1:6" ht="29">
      <c r="A150" s="1" t="s">
        <v>450</v>
      </c>
      <c r="B150" s="4" t="s">
        <v>451</v>
      </c>
      <c r="C150" s="3" t="s">
        <v>452</v>
      </c>
      <c r="D150" s="5" t="s">
        <v>8</v>
      </c>
      <c r="E150" s="6">
        <f>VALUE(5199)</f>
        <v>5199</v>
      </c>
      <c r="F150" s="5" t="s">
        <v>10</v>
      </c>
    </row>
    <row r="151" spans="1:6" ht="29">
      <c r="A151" s="1" t="s">
        <v>453</v>
      </c>
      <c r="B151" s="4" t="s">
        <v>454</v>
      </c>
      <c r="C151" s="3" t="s">
        <v>455</v>
      </c>
      <c r="D151" s="5" t="s">
        <v>8</v>
      </c>
      <c r="E151" s="6">
        <f>VALUE(3899.25)</f>
        <v>3899.25</v>
      </c>
      <c r="F151" s="5" t="s">
        <v>10</v>
      </c>
    </row>
    <row r="152" spans="1:6" ht="29">
      <c r="A152" s="1" t="s">
        <v>456</v>
      </c>
      <c r="B152" s="4" t="s">
        <v>457</v>
      </c>
      <c r="C152" s="3" t="s">
        <v>458</v>
      </c>
      <c r="D152" s="5" t="s">
        <v>8</v>
      </c>
      <c r="E152" s="6">
        <f>VALUE(3749.29)</f>
        <v>3749.29</v>
      </c>
      <c r="F152" s="5" t="s">
        <v>10</v>
      </c>
    </row>
    <row r="153" spans="1:6" ht="29">
      <c r="A153" s="1" t="s">
        <v>459</v>
      </c>
      <c r="B153" s="4" t="s">
        <v>460</v>
      </c>
      <c r="C153" s="3" t="s">
        <v>461</v>
      </c>
      <c r="D153" s="5" t="s">
        <v>8</v>
      </c>
      <c r="E153" s="6">
        <f>VALUE(5400)</f>
        <v>5400</v>
      </c>
      <c r="F153" s="5" t="s">
        <v>10</v>
      </c>
    </row>
    <row r="154" spans="1:6" ht="29">
      <c r="A154" s="1" t="s">
        <v>462</v>
      </c>
      <c r="B154" s="4" t="s">
        <v>463</v>
      </c>
      <c r="C154" s="3" t="s">
        <v>464</v>
      </c>
      <c r="D154" s="5" t="s">
        <v>8</v>
      </c>
      <c r="E154" s="6">
        <f>VALUE(7200)</f>
        <v>7200</v>
      </c>
      <c r="F154" s="5" t="s">
        <v>10</v>
      </c>
    </row>
    <row r="155" spans="1:6" ht="29">
      <c r="A155" s="1" t="s">
        <v>465</v>
      </c>
      <c r="B155" s="4" t="s">
        <v>466</v>
      </c>
      <c r="C155" s="3" t="s">
        <v>467</v>
      </c>
      <c r="D155" s="5" t="s">
        <v>8</v>
      </c>
      <c r="E155" s="6">
        <f>VALUE(5400)</f>
        <v>5400</v>
      </c>
      <c r="F155" s="5" t="s">
        <v>10</v>
      </c>
    </row>
    <row r="156" spans="1:6" ht="29">
      <c r="A156" s="1" t="s">
        <v>468</v>
      </c>
      <c r="B156" s="4" t="s">
        <v>469</v>
      </c>
      <c r="C156" s="3" t="s">
        <v>470</v>
      </c>
      <c r="D156" s="5" t="s">
        <v>8</v>
      </c>
      <c r="E156" s="6">
        <f>VALUE(5400)</f>
        <v>5400</v>
      </c>
      <c r="F156" s="5" t="s">
        <v>10</v>
      </c>
    </row>
    <row r="157" spans="1:6" ht="29">
      <c r="A157" s="1" t="s">
        <v>471</v>
      </c>
      <c r="B157" s="4" t="s">
        <v>472</v>
      </c>
      <c r="C157" s="3" t="s">
        <v>473</v>
      </c>
      <c r="D157" s="5" t="s">
        <v>8</v>
      </c>
      <c r="E157" s="6">
        <f>VALUE(7200)</f>
        <v>7200</v>
      </c>
      <c r="F157" s="5" t="s">
        <v>10</v>
      </c>
    </row>
    <row r="158" spans="1:6" ht="29">
      <c r="A158" s="1" t="s">
        <v>474</v>
      </c>
      <c r="B158" s="4" t="s">
        <v>475</v>
      </c>
      <c r="C158" s="3" t="s">
        <v>476</v>
      </c>
      <c r="D158" s="5" t="s">
        <v>8</v>
      </c>
      <c r="E158" s="6">
        <f>VALUE(5400)</f>
        <v>5400</v>
      </c>
      <c r="F158" s="5" t="s">
        <v>10</v>
      </c>
    </row>
    <row r="159" spans="1:6" ht="43.5">
      <c r="A159" s="1" t="s">
        <v>477</v>
      </c>
      <c r="B159" s="4" t="s">
        <v>478</v>
      </c>
      <c r="C159" s="3" t="s">
        <v>479</v>
      </c>
      <c r="D159" s="5" t="s">
        <v>8</v>
      </c>
      <c r="E159" s="6">
        <f>VALUE(40.5)</f>
        <v>40.5</v>
      </c>
      <c r="F159" s="5" t="s">
        <v>10</v>
      </c>
    </row>
    <row r="160" spans="1:6" ht="43.5">
      <c r="A160" s="1" t="s">
        <v>480</v>
      </c>
      <c r="B160" s="4" t="s">
        <v>481</v>
      </c>
      <c r="C160" s="3" t="s">
        <v>482</v>
      </c>
      <c r="D160" s="5" t="s">
        <v>8</v>
      </c>
      <c r="E160" s="6">
        <f>VALUE(54)</f>
        <v>54</v>
      </c>
      <c r="F160" s="5" t="s">
        <v>10</v>
      </c>
    </row>
    <row r="161" spans="1:6" ht="29">
      <c r="A161" s="1" t="s">
        <v>483</v>
      </c>
      <c r="B161" s="4" t="s">
        <v>484</v>
      </c>
      <c r="C161" s="3" t="s">
        <v>485</v>
      </c>
      <c r="D161" s="5" t="s">
        <v>8</v>
      </c>
      <c r="E161" s="6">
        <f>VALUE(40.5)</f>
        <v>40.5</v>
      </c>
      <c r="F161" s="5" t="s">
        <v>10</v>
      </c>
    </row>
    <row r="162" spans="1:6" ht="29">
      <c r="A162" s="1" t="s">
        <v>486</v>
      </c>
      <c r="B162" s="4" t="s">
        <v>487</v>
      </c>
      <c r="C162" s="3" t="s">
        <v>488</v>
      </c>
      <c r="D162" s="5" t="s">
        <v>8</v>
      </c>
      <c r="E162" s="6">
        <f>VALUE(82.35)</f>
        <v>82.35</v>
      </c>
      <c r="F162" s="5" t="s">
        <v>10</v>
      </c>
    </row>
    <row r="163" spans="1:6" ht="29">
      <c r="A163" s="1" t="s">
        <v>489</v>
      </c>
      <c r="B163" s="4" t="s">
        <v>490</v>
      </c>
      <c r="C163" s="3" t="s">
        <v>491</v>
      </c>
      <c r="D163" s="5" t="s">
        <v>8</v>
      </c>
      <c r="E163" s="6">
        <f>VALUE(109.8)</f>
        <v>109.8</v>
      </c>
      <c r="F163" s="5" t="s">
        <v>10</v>
      </c>
    </row>
    <row r="164" spans="1:6" ht="29">
      <c r="A164" s="1" t="s">
        <v>492</v>
      </c>
      <c r="B164" s="4" t="s">
        <v>493</v>
      </c>
      <c r="C164" s="3" t="s">
        <v>494</v>
      </c>
      <c r="D164" s="5" t="s">
        <v>8</v>
      </c>
      <c r="E164" s="6">
        <f>VALUE(82.35)</f>
        <v>82.35</v>
      </c>
      <c r="F164" s="5" t="s">
        <v>10</v>
      </c>
    </row>
    <row r="165" spans="1:6" ht="29">
      <c r="A165" s="1" t="s">
        <v>495</v>
      </c>
      <c r="B165" s="4" t="s">
        <v>496</v>
      </c>
      <c r="C165" s="3" t="s">
        <v>497</v>
      </c>
      <c r="D165" s="5" t="s">
        <v>8</v>
      </c>
      <c r="E165" s="6">
        <f>VALUE(270)</f>
        <v>270</v>
      </c>
      <c r="F165" s="5" t="s">
        <v>10</v>
      </c>
    </row>
    <row r="166" spans="1:6" ht="29">
      <c r="A166" s="1" t="s">
        <v>498</v>
      </c>
      <c r="B166" s="4" t="s">
        <v>499</v>
      </c>
      <c r="C166" s="3" t="s">
        <v>500</v>
      </c>
      <c r="D166" s="5" t="s">
        <v>8</v>
      </c>
      <c r="E166" s="6">
        <f>VALUE(360)</f>
        <v>360</v>
      </c>
      <c r="F166" s="5" t="s">
        <v>10</v>
      </c>
    </row>
    <row r="167" spans="1:6" ht="29">
      <c r="A167" s="1" t="s">
        <v>501</v>
      </c>
      <c r="B167" s="4" t="s">
        <v>502</v>
      </c>
      <c r="C167" s="3" t="s">
        <v>503</v>
      </c>
      <c r="D167" s="5" t="s">
        <v>8</v>
      </c>
      <c r="E167" s="6">
        <f>VALUE(270)</f>
        <v>270</v>
      </c>
      <c r="F167" s="5" t="s">
        <v>10</v>
      </c>
    </row>
    <row r="168" spans="1:6" ht="29">
      <c r="A168" s="1" t="s">
        <v>504</v>
      </c>
      <c r="B168" s="4" t="s">
        <v>505</v>
      </c>
      <c r="C168" s="3" t="s">
        <v>506</v>
      </c>
      <c r="D168" s="5" t="s">
        <v>8</v>
      </c>
      <c r="E168" s="6">
        <f>VALUE(194.25)</f>
        <v>194.25</v>
      </c>
      <c r="F168" s="5" t="s">
        <v>10</v>
      </c>
    </row>
    <row r="169" spans="1:6" ht="29">
      <c r="A169" s="1" t="s">
        <v>507</v>
      </c>
      <c r="B169" s="4" t="s">
        <v>508</v>
      </c>
      <c r="C169" s="3" t="s">
        <v>509</v>
      </c>
      <c r="D169" s="5" t="s">
        <v>8</v>
      </c>
      <c r="E169" s="6">
        <f>VALUE(259)</f>
        <v>259</v>
      </c>
      <c r="F169" s="5" t="s">
        <v>10</v>
      </c>
    </row>
    <row r="170" spans="1:6" ht="29">
      <c r="A170" s="1" t="s">
        <v>510</v>
      </c>
      <c r="B170" s="4" t="s">
        <v>511</v>
      </c>
      <c r="C170" s="3" t="s">
        <v>512</v>
      </c>
      <c r="D170" s="5" t="s">
        <v>8</v>
      </c>
      <c r="E170" s="6">
        <f>VALUE(194.25)</f>
        <v>194.25</v>
      </c>
      <c r="F170" s="5" t="s">
        <v>10</v>
      </c>
    </row>
    <row r="171" spans="1:6" ht="29">
      <c r="A171" s="1" t="s">
        <v>513</v>
      </c>
      <c r="B171" s="4" t="s">
        <v>514</v>
      </c>
      <c r="C171" s="3" t="s">
        <v>515</v>
      </c>
      <c r="D171" s="5" t="s">
        <v>8</v>
      </c>
      <c r="E171" s="6">
        <f>VALUE(239.25)</f>
        <v>239.25</v>
      </c>
      <c r="F171" s="5" t="s">
        <v>10</v>
      </c>
    </row>
    <row r="172" spans="1:6" ht="29">
      <c r="A172" s="1" t="s">
        <v>516</v>
      </c>
      <c r="B172" s="4" t="s">
        <v>517</v>
      </c>
      <c r="C172" s="3" t="s">
        <v>518</v>
      </c>
      <c r="D172" s="5" t="s">
        <v>8</v>
      </c>
      <c r="E172" s="6">
        <f>VALUE(319)</f>
        <v>319</v>
      </c>
      <c r="F172" s="5" t="s">
        <v>10</v>
      </c>
    </row>
    <row r="173" spans="1:6" ht="29">
      <c r="A173" s="1" t="s">
        <v>519</v>
      </c>
      <c r="B173" s="4" t="s">
        <v>520</v>
      </c>
      <c r="C173" s="3" t="s">
        <v>521</v>
      </c>
      <c r="D173" s="5" t="s">
        <v>8</v>
      </c>
      <c r="E173" s="6">
        <f>VALUE(239.25)</f>
        <v>239.25</v>
      </c>
      <c r="F173" s="5" t="s">
        <v>10</v>
      </c>
    </row>
    <row r="174" spans="1:6" ht="29">
      <c r="A174" s="1" t="s">
        <v>522</v>
      </c>
      <c r="B174" s="4" t="s">
        <v>523</v>
      </c>
      <c r="C174" s="3" t="s">
        <v>524</v>
      </c>
      <c r="D174" s="5" t="s">
        <v>8</v>
      </c>
      <c r="E174" s="6">
        <f>VALUE(269.25)</f>
        <v>269.25</v>
      </c>
      <c r="F174" s="5" t="s">
        <v>10</v>
      </c>
    </row>
    <row r="175" spans="1:6" ht="29">
      <c r="A175" s="1" t="s">
        <v>525</v>
      </c>
      <c r="B175" s="4" t="s">
        <v>526</v>
      </c>
      <c r="C175" s="3" t="s">
        <v>527</v>
      </c>
      <c r="D175" s="5" t="s">
        <v>8</v>
      </c>
      <c r="E175" s="6">
        <f>VALUE(359)</f>
        <v>359</v>
      </c>
      <c r="F175" s="5" t="s">
        <v>10</v>
      </c>
    </row>
    <row r="176" spans="1:6" ht="29">
      <c r="A176" s="1" t="s">
        <v>528</v>
      </c>
      <c r="B176" s="4" t="s">
        <v>529</v>
      </c>
      <c r="C176" s="3" t="s">
        <v>530</v>
      </c>
      <c r="D176" s="5" t="s">
        <v>8</v>
      </c>
      <c r="E176" s="6">
        <f>VALUE(269.25)</f>
        <v>269.25</v>
      </c>
      <c r="F176" s="5" t="s">
        <v>10</v>
      </c>
    </row>
    <row r="177" spans="1:6" ht="29">
      <c r="A177" s="1" t="s">
        <v>531</v>
      </c>
      <c r="B177" s="4" t="s">
        <v>532</v>
      </c>
      <c r="C177" s="3" t="s">
        <v>533</v>
      </c>
      <c r="D177" s="5" t="s">
        <v>8</v>
      </c>
      <c r="E177" s="6">
        <f>VALUE(22.35)</f>
        <v>22.35</v>
      </c>
      <c r="F177" s="5" t="s">
        <v>10</v>
      </c>
    </row>
    <row r="178" spans="1:6" ht="29">
      <c r="A178" s="1" t="s">
        <v>534</v>
      </c>
      <c r="B178" s="4" t="s">
        <v>535</v>
      </c>
      <c r="C178" s="3" t="s">
        <v>536</v>
      </c>
      <c r="D178" s="5" t="s">
        <v>8</v>
      </c>
      <c r="E178" s="6">
        <f>VALUE(29.8)</f>
        <v>29.8</v>
      </c>
      <c r="F178" s="5" t="s">
        <v>10</v>
      </c>
    </row>
    <row r="179" spans="1:6" ht="29">
      <c r="A179" s="1" t="s">
        <v>537</v>
      </c>
      <c r="B179" s="4" t="s">
        <v>538</v>
      </c>
      <c r="C179" s="3" t="s">
        <v>539</v>
      </c>
      <c r="D179" s="5" t="s">
        <v>8</v>
      </c>
      <c r="E179" s="6">
        <f>VALUE(22.35)</f>
        <v>22.35</v>
      </c>
      <c r="F179" s="5" t="s">
        <v>10</v>
      </c>
    </row>
    <row r="180" spans="1:6" ht="29">
      <c r="A180" s="1" t="s">
        <v>540</v>
      </c>
      <c r="B180" s="4" t="s">
        <v>541</v>
      </c>
      <c r="C180" s="3" t="s">
        <v>542</v>
      </c>
      <c r="D180" s="5" t="s">
        <v>8</v>
      </c>
      <c r="E180" s="6">
        <f>VALUE(36.75)</f>
        <v>36.75</v>
      </c>
      <c r="F180" s="5" t="s">
        <v>10</v>
      </c>
    </row>
    <row r="181" spans="1:6" ht="29">
      <c r="A181" s="1" t="s">
        <v>543</v>
      </c>
      <c r="B181" s="4" t="s">
        <v>544</v>
      </c>
      <c r="C181" s="3" t="s">
        <v>545</v>
      </c>
      <c r="D181" s="5" t="s">
        <v>8</v>
      </c>
      <c r="E181" s="6">
        <f>VALUE(2.25)</f>
        <v>2.25</v>
      </c>
      <c r="F181" s="5" t="s">
        <v>10</v>
      </c>
    </row>
    <row r="182" spans="1:6" ht="29">
      <c r="A182" s="1" t="s">
        <v>546</v>
      </c>
      <c r="B182" s="4" t="s">
        <v>547</v>
      </c>
      <c r="C182" s="3" t="s">
        <v>548</v>
      </c>
      <c r="D182" s="5" t="s">
        <v>8</v>
      </c>
      <c r="E182" s="6">
        <f>VALUE(3)</f>
        <v>3</v>
      </c>
      <c r="F182" s="5" t="s">
        <v>10</v>
      </c>
    </row>
    <row r="183" spans="1:6" ht="29">
      <c r="A183" s="1" t="s">
        <v>549</v>
      </c>
      <c r="B183" s="4" t="s">
        <v>550</v>
      </c>
      <c r="C183" s="3" t="s">
        <v>551</v>
      </c>
      <c r="D183" s="5" t="s">
        <v>8</v>
      </c>
      <c r="E183" s="6">
        <f>VALUE(2.25)</f>
        <v>2.25</v>
      </c>
      <c r="F183" s="5" t="s">
        <v>10</v>
      </c>
    </row>
    <row r="184" spans="1:6" ht="43.5">
      <c r="A184" s="1" t="s">
        <v>552</v>
      </c>
      <c r="B184" s="4" t="s">
        <v>553</v>
      </c>
      <c r="C184" s="3" t="s">
        <v>554</v>
      </c>
      <c r="D184" s="5" t="s">
        <v>8</v>
      </c>
      <c r="E184" s="6">
        <f>VALUE(2.25)</f>
        <v>2.25</v>
      </c>
      <c r="F184" s="5" t="s">
        <v>10</v>
      </c>
    </row>
    <row r="185" spans="1:6" ht="43.5">
      <c r="A185" s="1" t="s">
        <v>555</v>
      </c>
      <c r="B185" s="4" t="s">
        <v>556</v>
      </c>
      <c r="C185" s="3" t="s">
        <v>557</v>
      </c>
      <c r="D185" s="5" t="s">
        <v>8</v>
      </c>
      <c r="E185" s="6">
        <f>VALUE(3)</f>
        <v>3</v>
      </c>
      <c r="F185" s="5" t="s">
        <v>10</v>
      </c>
    </row>
    <row r="186" spans="1:6" ht="29">
      <c r="A186" s="1" t="s">
        <v>558</v>
      </c>
      <c r="B186" s="4" t="s">
        <v>559</v>
      </c>
      <c r="C186" s="3" t="s">
        <v>560</v>
      </c>
      <c r="D186" s="5" t="s">
        <v>8</v>
      </c>
      <c r="E186" s="6">
        <f>VALUE(2.25)</f>
        <v>2.25</v>
      </c>
      <c r="F186" s="5" t="s">
        <v>10</v>
      </c>
    </row>
    <row r="187" spans="1:6" ht="43.5">
      <c r="A187" s="1" t="s">
        <v>561</v>
      </c>
      <c r="B187" s="4" t="s">
        <v>562</v>
      </c>
      <c r="C187" s="3" t="s">
        <v>563</v>
      </c>
      <c r="D187" s="5" t="s">
        <v>8</v>
      </c>
      <c r="E187" s="6">
        <f>VALUE(2.55)</f>
        <v>2.5499999999999998</v>
      </c>
      <c r="F187" s="5" t="s">
        <v>10</v>
      </c>
    </row>
    <row r="188" spans="1:6" ht="29">
      <c r="A188" s="1" t="s">
        <v>564</v>
      </c>
      <c r="B188" s="4" t="s">
        <v>565</v>
      </c>
      <c r="C188" s="3" t="s">
        <v>566</v>
      </c>
      <c r="D188" s="5" t="s">
        <v>8</v>
      </c>
      <c r="E188" s="6">
        <f>VALUE(3.4)</f>
        <v>3.4</v>
      </c>
      <c r="F188" s="5" t="s">
        <v>10</v>
      </c>
    </row>
    <row r="189" spans="1:6" ht="29">
      <c r="A189" s="1" t="s">
        <v>567</v>
      </c>
      <c r="B189" s="4" t="s">
        <v>568</v>
      </c>
      <c r="C189" s="3" t="s">
        <v>569</v>
      </c>
      <c r="D189" s="5" t="s">
        <v>8</v>
      </c>
      <c r="E189" s="6">
        <f>VALUE(2.55)</f>
        <v>2.5499999999999998</v>
      </c>
      <c r="F189" s="5" t="s">
        <v>10</v>
      </c>
    </row>
    <row r="190" spans="1:6" ht="43.5">
      <c r="A190" s="1" t="s">
        <v>570</v>
      </c>
      <c r="B190" s="4" t="s">
        <v>571</v>
      </c>
      <c r="C190" s="3" t="s">
        <v>572</v>
      </c>
      <c r="D190" s="5" t="s">
        <v>8</v>
      </c>
      <c r="E190" s="6">
        <f>VALUE(2.55)</f>
        <v>2.5499999999999998</v>
      </c>
      <c r="F190" s="5" t="s">
        <v>10</v>
      </c>
    </row>
    <row r="191" spans="1:6" ht="29">
      <c r="A191" s="1" t="s">
        <v>573</v>
      </c>
      <c r="B191" s="4" t="s">
        <v>574</v>
      </c>
      <c r="C191" s="3" t="s">
        <v>575</v>
      </c>
      <c r="D191" s="5" t="s">
        <v>8</v>
      </c>
      <c r="E191" s="6">
        <f>VALUE(3.4)</f>
        <v>3.4</v>
      </c>
      <c r="F191" s="5" t="s">
        <v>10</v>
      </c>
    </row>
    <row r="192" spans="1:6" ht="29">
      <c r="A192" s="1" t="s">
        <v>576</v>
      </c>
      <c r="B192" s="4" t="s">
        <v>577</v>
      </c>
      <c r="C192" s="3" t="s">
        <v>578</v>
      </c>
      <c r="D192" s="5" t="s">
        <v>8</v>
      </c>
      <c r="E192" s="6">
        <f>VALUE(2.55)</f>
        <v>2.5499999999999998</v>
      </c>
      <c r="F192" s="5" t="s">
        <v>10</v>
      </c>
    </row>
    <row r="193" spans="1:6" ht="43.5">
      <c r="A193" s="1" t="s">
        <v>579</v>
      </c>
      <c r="B193" s="4" t="s">
        <v>580</v>
      </c>
      <c r="C193" s="3" t="s">
        <v>581</v>
      </c>
      <c r="D193" s="5" t="s">
        <v>8</v>
      </c>
      <c r="E193" s="6">
        <f>VALUE(2.55)</f>
        <v>2.5499999999999998</v>
      </c>
      <c r="F193" s="5" t="s">
        <v>10</v>
      </c>
    </row>
    <row r="194" spans="1:6" ht="29">
      <c r="A194" s="1" t="s">
        <v>582</v>
      </c>
      <c r="B194" s="4" t="s">
        <v>583</v>
      </c>
      <c r="C194" s="3" t="s">
        <v>584</v>
      </c>
      <c r="D194" s="5" t="s">
        <v>8</v>
      </c>
      <c r="E194" s="6">
        <f>VALUE(3.4)</f>
        <v>3.4</v>
      </c>
      <c r="F194" s="5" t="s">
        <v>10</v>
      </c>
    </row>
    <row r="195" spans="1:6" ht="29">
      <c r="A195" s="1" t="s">
        <v>585</v>
      </c>
      <c r="B195" s="4" t="s">
        <v>586</v>
      </c>
      <c r="C195" s="3" t="s">
        <v>587</v>
      </c>
      <c r="D195" s="5" t="s">
        <v>8</v>
      </c>
      <c r="E195" s="6">
        <f>VALUE(2.55)</f>
        <v>2.5499999999999998</v>
      </c>
      <c r="F195" s="5" t="s">
        <v>10</v>
      </c>
    </row>
    <row r="196" spans="1:6" ht="43.5">
      <c r="A196" s="1" t="s">
        <v>588</v>
      </c>
      <c r="B196" s="4" t="s">
        <v>589</v>
      </c>
      <c r="C196" s="3" t="s">
        <v>590</v>
      </c>
      <c r="D196" s="5" t="s">
        <v>8</v>
      </c>
      <c r="E196" s="6">
        <f>VALUE(2.55)</f>
        <v>2.5499999999999998</v>
      </c>
      <c r="F196" s="5" t="s">
        <v>10</v>
      </c>
    </row>
    <row r="197" spans="1:6" ht="29">
      <c r="A197" s="1" t="s">
        <v>591</v>
      </c>
      <c r="B197" s="4" t="s">
        <v>592</v>
      </c>
      <c r="C197" s="3" t="s">
        <v>593</v>
      </c>
      <c r="D197" s="5" t="s">
        <v>8</v>
      </c>
      <c r="E197" s="6">
        <f>VALUE(3.4)</f>
        <v>3.4</v>
      </c>
      <c r="F197" s="5" t="s">
        <v>10</v>
      </c>
    </row>
    <row r="198" spans="1:6" ht="29">
      <c r="A198" s="1" t="s">
        <v>594</v>
      </c>
      <c r="B198" s="4" t="s">
        <v>595</v>
      </c>
      <c r="C198" s="3" t="s">
        <v>596</v>
      </c>
      <c r="D198" s="5" t="s">
        <v>8</v>
      </c>
      <c r="E198" s="6">
        <f>VALUE(2.55)</f>
        <v>2.5499999999999998</v>
      </c>
      <c r="F198" s="5" t="s">
        <v>10</v>
      </c>
    </row>
    <row r="199" spans="1:6" ht="43.5">
      <c r="A199" s="1" t="s">
        <v>597</v>
      </c>
      <c r="B199" s="4" t="s">
        <v>598</v>
      </c>
      <c r="C199" s="3" t="s">
        <v>599</v>
      </c>
      <c r="D199" s="5" t="s">
        <v>8</v>
      </c>
      <c r="E199" s="6">
        <f>VALUE(449.25)</f>
        <v>449.25</v>
      </c>
      <c r="F199" s="5" t="s">
        <v>10</v>
      </c>
    </row>
    <row r="200" spans="1:6" ht="43.5">
      <c r="A200" s="1" t="s">
        <v>600</v>
      </c>
      <c r="B200" s="4" t="s">
        <v>601</v>
      </c>
      <c r="C200" s="3" t="s">
        <v>602</v>
      </c>
      <c r="D200" s="5" t="s">
        <v>8</v>
      </c>
      <c r="E200" s="6">
        <f>VALUE(599)</f>
        <v>599</v>
      </c>
      <c r="F200" s="5" t="s">
        <v>10</v>
      </c>
    </row>
    <row r="201" spans="1:6" ht="43.5">
      <c r="A201" s="1" t="s">
        <v>603</v>
      </c>
      <c r="B201" s="4" t="s">
        <v>604</v>
      </c>
      <c r="C201" s="3" t="s">
        <v>605</v>
      </c>
      <c r="D201" s="5" t="s">
        <v>8</v>
      </c>
      <c r="E201" s="6">
        <f>VALUE(449.25)</f>
        <v>449.25</v>
      </c>
      <c r="F201" s="5" t="s">
        <v>10</v>
      </c>
    </row>
    <row r="202" spans="1:6" ht="43.5">
      <c r="A202" s="1" t="s">
        <v>606</v>
      </c>
      <c r="B202" s="4" t="s">
        <v>607</v>
      </c>
      <c r="C202" s="3" t="s">
        <v>608</v>
      </c>
      <c r="D202" s="5" t="s">
        <v>8</v>
      </c>
      <c r="E202" s="6">
        <f>VALUE(449.25)</f>
        <v>449.25</v>
      </c>
      <c r="F202" s="5" t="s">
        <v>10</v>
      </c>
    </row>
    <row r="203" spans="1:6" ht="29">
      <c r="A203" s="1" t="s">
        <v>609</v>
      </c>
      <c r="B203" s="4" t="s">
        <v>610</v>
      </c>
      <c r="C203" s="3" t="s">
        <v>611</v>
      </c>
      <c r="D203" s="5" t="s">
        <v>8</v>
      </c>
      <c r="E203" s="6">
        <f>VALUE(599)</f>
        <v>599</v>
      </c>
      <c r="F203" s="5" t="s">
        <v>10</v>
      </c>
    </row>
    <row r="204" spans="1:6" ht="29">
      <c r="A204" s="1" t="s">
        <v>612</v>
      </c>
      <c r="B204" s="4" t="s">
        <v>613</v>
      </c>
      <c r="C204" s="3" t="s">
        <v>614</v>
      </c>
      <c r="D204" s="5" t="s">
        <v>8</v>
      </c>
      <c r="E204" s="6">
        <f>VALUE(449.25)</f>
        <v>449.25</v>
      </c>
      <c r="F204" s="5" t="s">
        <v>10</v>
      </c>
    </row>
    <row r="205" spans="1:6" ht="29">
      <c r="A205" s="1" t="s">
        <v>615</v>
      </c>
      <c r="B205" s="4" t="s">
        <v>616</v>
      </c>
      <c r="C205" s="3" t="s">
        <v>617</v>
      </c>
      <c r="D205" s="5" t="s">
        <v>8</v>
      </c>
      <c r="E205" s="6">
        <f>VALUE(449.25)</f>
        <v>449.25</v>
      </c>
      <c r="F205" s="5" t="s">
        <v>10</v>
      </c>
    </row>
    <row r="206" spans="1:6" ht="29">
      <c r="A206" s="1" t="s">
        <v>618</v>
      </c>
      <c r="B206" s="4" t="s">
        <v>619</v>
      </c>
      <c r="C206" s="3" t="s">
        <v>620</v>
      </c>
      <c r="D206" s="5" t="s">
        <v>8</v>
      </c>
      <c r="E206" s="6">
        <f>VALUE(599)</f>
        <v>599</v>
      </c>
      <c r="F206" s="5" t="s">
        <v>10</v>
      </c>
    </row>
    <row r="207" spans="1:6" ht="29">
      <c r="A207" s="1" t="s">
        <v>621</v>
      </c>
      <c r="B207" s="4" t="s">
        <v>622</v>
      </c>
      <c r="C207" s="3" t="s">
        <v>623</v>
      </c>
      <c r="D207" s="5" t="s">
        <v>8</v>
      </c>
      <c r="E207" s="6">
        <f>VALUE(449.25)</f>
        <v>449.25</v>
      </c>
      <c r="F207" s="5" t="s">
        <v>10</v>
      </c>
    </row>
    <row r="208" spans="1:6" ht="43.5">
      <c r="A208" s="1" t="s">
        <v>624</v>
      </c>
      <c r="B208" s="4" t="s">
        <v>625</v>
      </c>
      <c r="C208" s="3" t="s">
        <v>626</v>
      </c>
      <c r="D208" s="5" t="s">
        <v>8</v>
      </c>
      <c r="E208" s="6">
        <f>VALUE(2099.25)</f>
        <v>2099.25</v>
      </c>
      <c r="F208" s="5" t="s">
        <v>10</v>
      </c>
    </row>
    <row r="209" spans="1:6" ht="29">
      <c r="A209" s="1" t="s">
        <v>627</v>
      </c>
      <c r="B209" s="4" t="s">
        <v>628</v>
      </c>
      <c r="C209" s="3" t="s">
        <v>629</v>
      </c>
      <c r="D209" s="5" t="s">
        <v>8</v>
      </c>
      <c r="E209" s="6">
        <f>VALUE(49)</f>
        <v>49</v>
      </c>
      <c r="F209" s="5" t="s">
        <v>10</v>
      </c>
    </row>
    <row r="210" spans="1:6" ht="29">
      <c r="A210" s="1" t="s">
        <v>630</v>
      </c>
      <c r="B210" s="4" t="s">
        <v>631</v>
      </c>
      <c r="C210" s="3" t="s">
        <v>632</v>
      </c>
      <c r="D210" s="5" t="s">
        <v>8</v>
      </c>
      <c r="E210" s="6">
        <f>VALUE(36.75)</f>
        <v>36.75</v>
      </c>
      <c r="F210" s="5" t="s">
        <v>10</v>
      </c>
    </row>
    <row r="211" spans="1:6" ht="29">
      <c r="A211" s="1" t="s">
        <v>633</v>
      </c>
      <c r="B211" s="4" t="s">
        <v>634</v>
      </c>
      <c r="C211" s="3" t="s">
        <v>635</v>
      </c>
      <c r="D211" s="5" t="s">
        <v>8</v>
      </c>
      <c r="E211" s="6">
        <f>VALUE(66.75)</f>
        <v>66.75</v>
      </c>
      <c r="F211" s="5" t="s">
        <v>10</v>
      </c>
    </row>
    <row r="212" spans="1:6" ht="29">
      <c r="A212" s="1" t="s">
        <v>636</v>
      </c>
      <c r="B212" s="4" t="s">
        <v>637</v>
      </c>
      <c r="C212" s="3" t="s">
        <v>638</v>
      </c>
      <c r="D212" s="5" t="s">
        <v>8</v>
      </c>
      <c r="E212" s="6">
        <f>VALUE(89)</f>
        <v>89</v>
      </c>
      <c r="F212" s="5" t="s">
        <v>10</v>
      </c>
    </row>
    <row r="213" spans="1:6" ht="29">
      <c r="A213" s="1" t="s">
        <v>639</v>
      </c>
      <c r="B213" s="4" t="s">
        <v>640</v>
      </c>
      <c r="C213" s="3" t="s">
        <v>641</v>
      </c>
      <c r="D213" s="5" t="s">
        <v>8</v>
      </c>
      <c r="E213" s="6">
        <f>VALUE(66.75)</f>
        <v>66.75</v>
      </c>
      <c r="F213" s="5" t="s">
        <v>10</v>
      </c>
    </row>
    <row r="214" spans="1:6" ht="43.5">
      <c r="A214" s="1" t="s">
        <v>642</v>
      </c>
      <c r="B214" s="4" t="s">
        <v>643</v>
      </c>
      <c r="C214" s="3" t="s">
        <v>644</v>
      </c>
      <c r="D214" s="5" t="s">
        <v>8</v>
      </c>
      <c r="E214" s="6">
        <f>VALUE(2999.25)</f>
        <v>2999.25</v>
      </c>
      <c r="F214" s="5" t="s">
        <v>10</v>
      </c>
    </row>
    <row r="215" spans="1:6" ht="43.5">
      <c r="A215" s="1" t="s">
        <v>645</v>
      </c>
      <c r="B215" s="4" t="s">
        <v>646</v>
      </c>
      <c r="C215" s="3" t="s">
        <v>647</v>
      </c>
      <c r="D215" s="5" t="s">
        <v>8</v>
      </c>
      <c r="E215" s="6">
        <f>VALUE(3999)</f>
        <v>3999</v>
      </c>
      <c r="F215" s="5" t="s">
        <v>10</v>
      </c>
    </row>
    <row r="216" spans="1:6" ht="29">
      <c r="A216" s="1" t="s">
        <v>648</v>
      </c>
      <c r="B216" s="4" t="s">
        <v>649</v>
      </c>
      <c r="C216" s="3" t="s">
        <v>650</v>
      </c>
      <c r="D216" s="5" t="s">
        <v>8</v>
      </c>
      <c r="E216" s="6">
        <f>VALUE(2999.25)</f>
        <v>2999.25</v>
      </c>
      <c r="F216" s="5" t="s">
        <v>10</v>
      </c>
    </row>
    <row r="217" spans="1:6" ht="29">
      <c r="A217" s="1" t="s">
        <v>651</v>
      </c>
      <c r="B217" s="4" t="s">
        <v>652</v>
      </c>
      <c r="C217" s="3" t="s">
        <v>653</v>
      </c>
      <c r="D217" s="5" t="s">
        <v>8</v>
      </c>
      <c r="E217" s="6">
        <f>VALUE(2250)</f>
        <v>2250</v>
      </c>
      <c r="F217" s="5" t="s">
        <v>10</v>
      </c>
    </row>
    <row r="218" spans="1:6" ht="29">
      <c r="A218" s="1" t="s">
        <v>654</v>
      </c>
      <c r="B218" s="4" t="s">
        <v>655</v>
      </c>
      <c r="C218" s="3" t="s">
        <v>656</v>
      </c>
      <c r="D218" s="5" t="s">
        <v>8</v>
      </c>
      <c r="E218" s="6">
        <f>VALUE(3000)</f>
        <v>3000</v>
      </c>
      <c r="F218" s="5" t="s">
        <v>10</v>
      </c>
    </row>
    <row r="219" spans="1:6" ht="29">
      <c r="A219" s="1" t="s">
        <v>657</v>
      </c>
      <c r="B219" s="4" t="s">
        <v>658</v>
      </c>
      <c r="C219" s="3" t="s">
        <v>659</v>
      </c>
      <c r="D219" s="5" t="s">
        <v>8</v>
      </c>
      <c r="E219" s="6">
        <f>VALUE(2250)</f>
        <v>2250</v>
      </c>
      <c r="F219" s="5" t="s">
        <v>10</v>
      </c>
    </row>
    <row r="220" spans="1:6" ht="29">
      <c r="A220" s="1" t="s">
        <v>660</v>
      </c>
      <c r="B220" s="4" t="s">
        <v>661</v>
      </c>
      <c r="C220" s="3" t="s">
        <v>662</v>
      </c>
      <c r="D220" s="5" t="s">
        <v>8</v>
      </c>
      <c r="E220" s="6">
        <f>VALUE(9300)</f>
        <v>9300</v>
      </c>
      <c r="F220" s="5" t="s">
        <v>10</v>
      </c>
    </row>
    <row r="221" spans="1:6" ht="29">
      <c r="A221" s="1" t="s">
        <v>663</v>
      </c>
      <c r="B221" s="4" t="s">
        <v>664</v>
      </c>
      <c r="C221" s="3" t="s">
        <v>665</v>
      </c>
      <c r="D221" s="5" t="s">
        <v>8</v>
      </c>
      <c r="E221" s="6">
        <f>VALUE(12400)</f>
        <v>12400</v>
      </c>
      <c r="F221" s="5" t="s">
        <v>10</v>
      </c>
    </row>
    <row r="222" spans="1:6" ht="29">
      <c r="A222" s="1" t="s">
        <v>666</v>
      </c>
      <c r="B222" s="4" t="s">
        <v>667</v>
      </c>
      <c r="C222" s="3" t="s">
        <v>668</v>
      </c>
      <c r="D222" s="5" t="s">
        <v>8</v>
      </c>
      <c r="E222" s="6">
        <f>VALUE(9300)</f>
        <v>9300</v>
      </c>
      <c r="F222" s="5" t="s">
        <v>10</v>
      </c>
    </row>
    <row r="223" spans="1:6" ht="29">
      <c r="A223" s="1" t="s">
        <v>669</v>
      </c>
      <c r="B223" s="4" t="s">
        <v>670</v>
      </c>
      <c r="C223" s="3" t="s">
        <v>671</v>
      </c>
      <c r="D223" s="5" t="s">
        <v>8</v>
      </c>
      <c r="E223" s="6">
        <f>VALUE(15000)</f>
        <v>15000</v>
      </c>
      <c r="F223" s="5" t="s">
        <v>10</v>
      </c>
    </row>
    <row r="224" spans="1:6" ht="29">
      <c r="A224" s="1" t="s">
        <v>672</v>
      </c>
      <c r="B224" s="4" t="s">
        <v>673</v>
      </c>
      <c r="C224" s="3" t="s">
        <v>674</v>
      </c>
      <c r="D224" s="5" t="s">
        <v>8</v>
      </c>
      <c r="E224" s="6">
        <f>VALUE(20000)</f>
        <v>20000</v>
      </c>
      <c r="F224" s="5" t="s">
        <v>10</v>
      </c>
    </row>
    <row r="225" spans="1:6" ht="29">
      <c r="A225" s="1" t="s">
        <v>675</v>
      </c>
      <c r="B225" s="4" t="s">
        <v>676</v>
      </c>
      <c r="C225" s="3" t="s">
        <v>677</v>
      </c>
      <c r="D225" s="5" t="s">
        <v>8</v>
      </c>
      <c r="E225" s="6">
        <f>VALUE(15000)</f>
        <v>15000</v>
      </c>
      <c r="F225" s="5" t="s">
        <v>10</v>
      </c>
    </row>
    <row r="226" spans="1:6" ht="29">
      <c r="A226" s="1" t="s">
        <v>678</v>
      </c>
      <c r="B226" s="4" t="s">
        <v>679</v>
      </c>
      <c r="C226" s="3" t="s">
        <v>680</v>
      </c>
      <c r="D226" s="5" t="s">
        <v>8</v>
      </c>
      <c r="E226" s="6">
        <f>VALUE(33750)</f>
        <v>33750</v>
      </c>
      <c r="F226" s="5" t="s">
        <v>10</v>
      </c>
    </row>
    <row r="227" spans="1:6" ht="29">
      <c r="A227" s="1" t="s">
        <v>681</v>
      </c>
      <c r="B227" s="4" t="s">
        <v>682</v>
      </c>
      <c r="C227" s="3" t="s">
        <v>683</v>
      </c>
      <c r="D227" s="5" t="s">
        <v>8</v>
      </c>
      <c r="E227" s="6">
        <f>VALUE(45000)</f>
        <v>45000</v>
      </c>
      <c r="F227" s="5" t="s">
        <v>10</v>
      </c>
    </row>
    <row r="228" spans="1:6" ht="29">
      <c r="A228" s="1" t="s">
        <v>684</v>
      </c>
      <c r="B228" s="4" t="s">
        <v>685</v>
      </c>
      <c r="C228" s="3" t="s">
        <v>686</v>
      </c>
      <c r="D228" s="5" t="s">
        <v>8</v>
      </c>
      <c r="E228" s="6">
        <f>VALUE(33750)</f>
        <v>33750</v>
      </c>
      <c r="F228" s="5" t="s">
        <v>10</v>
      </c>
    </row>
    <row r="229" spans="1:6" ht="43.5">
      <c r="A229" s="1" t="s">
        <v>687</v>
      </c>
      <c r="B229" s="4" t="s">
        <v>688</v>
      </c>
      <c r="C229" s="3" t="s">
        <v>689</v>
      </c>
      <c r="D229" s="5" t="s">
        <v>8</v>
      </c>
      <c r="E229" s="6">
        <f>VALUE(824.25)</f>
        <v>824.25</v>
      </c>
      <c r="F229" s="5" t="s">
        <v>10</v>
      </c>
    </row>
    <row r="230" spans="1:6" ht="29">
      <c r="A230" s="1" t="s">
        <v>690</v>
      </c>
      <c r="B230" s="4" t="s">
        <v>691</v>
      </c>
      <c r="C230" s="3" t="s">
        <v>692</v>
      </c>
      <c r="D230" s="5" t="s">
        <v>8</v>
      </c>
      <c r="E230" s="6">
        <f>VALUE(1099)</f>
        <v>1099</v>
      </c>
      <c r="F230" s="5" t="s">
        <v>10</v>
      </c>
    </row>
    <row r="231" spans="1:6" ht="29">
      <c r="A231" s="1" t="s">
        <v>693</v>
      </c>
      <c r="B231" s="4" t="s">
        <v>694</v>
      </c>
      <c r="C231" s="3" t="s">
        <v>695</v>
      </c>
      <c r="D231" s="5" t="s">
        <v>8</v>
      </c>
      <c r="E231" s="6">
        <f>VALUE(824.25)</f>
        <v>824.25</v>
      </c>
      <c r="F231" s="5" t="s">
        <v>10</v>
      </c>
    </row>
    <row r="232" spans="1:6" ht="43.5">
      <c r="A232" s="1" t="s">
        <v>696</v>
      </c>
      <c r="B232" s="4" t="s">
        <v>697</v>
      </c>
      <c r="C232" s="3" t="s">
        <v>698</v>
      </c>
      <c r="D232" s="5" t="s">
        <v>8</v>
      </c>
      <c r="E232" s="6">
        <f>VALUE(224.25)</f>
        <v>224.25</v>
      </c>
      <c r="F232" s="5" t="s">
        <v>10</v>
      </c>
    </row>
    <row r="233" spans="1:6" ht="29">
      <c r="A233" s="1" t="s">
        <v>699</v>
      </c>
      <c r="B233" s="4" t="s">
        <v>700</v>
      </c>
      <c r="C233" s="3" t="s">
        <v>701</v>
      </c>
      <c r="D233" s="5" t="s">
        <v>8</v>
      </c>
      <c r="E233" s="6">
        <f>VALUE(299)</f>
        <v>299</v>
      </c>
      <c r="F233" s="5" t="s">
        <v>10</v>
      </c>
    </row>
    <row r="234" spans="1:6" ht="29">
      <c r="A234" s="1" t="s">
        <v>702</v>
      </c>
      <c r="B234" s="4" t="s">
        <v>703</v>
      </c>
      <c r="C234" s="3" t="s">
        <v>704</v>
      </c>
      <c r="D234" s="5" t="s">
        <v>8</v>
      </c>
      <c r="E234" s="6">
        <f>VALUE(224.25)</f>
        <v>224.25</v>
      </c>
      <c r="F234" s="5" t="s">
        <v>10</v>
      </c>
    </row>
    <row r="235" spans="1:6" ht="43.5">
      <c r="A235" s="1" t="s">
        <v>705</v>
      </c>
      <c r="B235" s="4" t="s">
        <v>706</v>
      </c>
      <c r="C235" s="3" t="s">
        <v>707</v>
      </c>
      <c r="D235" s="5" t="s">
        <v>8</v>
      </c>
      <c r="E235" s="6">
        <f>VALUE(973.5)</f>
        <v>973.5</v>
      </c>
      <c r="F235" s="5" t="s">
        <v>10</v>
      </c>
    </row>
    <row r="236" spans="1:6" ht="29">
      <c r="A236" s="1" t="s">
        <v>708</v>
      </c>
      <c r="B236" s="4" t="s">
        <v>709</v>
      </c>
      <c r="C236" s="3" t="s">
        <v>710</v>
      </c>
      <c r="D236" s="5" t="s">
        <v>8</v>
      </c>
      <c r="E236" s="6">
        <f>VALUE(1298)</f>
        <v>1298</v>
      </c>
      <c r="F236" s="5" t="s">
        <v>10</v>
      </c>
    </row>
    <row r="237" spans="1:6" ht="29">
      <c r="A237" s="1" t="s">
        <v>711</v>
      </c>
      <c r="B237" s="4" t="s">
        <v>712</v>
      </c>
      <c r="C237" s="3" t="s">
        <v>713</v>
      </c>
      <c r="D237" s="5" t="s">
        <v>8</v>
      </c>
      <c r="E237" s="6">
        <f>VALUE(973.5)</f>
        <v>973.5</v>
      </c>
      <c r="F237" s="5" t="s">
        <v>10</v>
      </c>
    </row>
    <row r="238" spans="1:6" ht="43.5">
      <c r="A238" s="1" t="s">
        <v>714</v>
      </c>
      <c r="B238" s="4" t="s">
        <v>715</v>
      </c>
      <c r="C238" s="3" t="s">
        <v>716</v>
      </c>
      <c r="D238" s="5" t="s">
        <v>8</v>
      </c>
      <c r="E238" s="6">
        <f>VALUE(1123.5)</f>
        <v>1123.5</v>
      </c>
      <c r="F238" s="5" t="s">
        <v>10</v>
      </c>
    </row>
    <row r="239" spans="1:6" ht="58">
      <c r="A239" s="1" t="s">
        <v>717</v>
      </c>
      <c r="B239" s="4" t="s">
        <v>718</v>
      </c>
      <c r="C239" s="3" t="s">
        <v>719</v>
      </c>
      <c r="D239" s="5" t="s">
        <v>8</v>
      </c>
      <c r="E239" s="6">
        <f>VALUE(2549.25)</f>
        <v>2549.25</v>
      </c>
      <c r="F239" s="5" t="s">
        <v>10</v>
      </c>
    </row>
    <row r="240" spans="1:6" ht="43.5">
      <c r="A240" s="1" t="s">
        <v>720</v>
      </c>
      <c r="B240" s="4" t="s">
        <v>721</v>
      </c>
      <c r="C240" s="3" t="s">
        <v>722</v>
      </c>
      <c r="D240" s="5" t="s">
        <v>8</v>
      </c>
      <c r="E240" s="6">
        <f>VALUE(3399)</f>
        <v>3399</v>
      </c>
      <c r="F240" s="5" t="s">
        <v>10</v>
      </c>
    </row>
    <row r="241" spans="1:6" ht="43.5">
      <c r="A241" s="1" t="s">
        <v>723</v>
      </c>
      <c r="B241" s="4" t="s">
        <v>724</v>
      </c>
      <c r="C241" s="3" t="s">
        <v>725</v>
      </c>
      <c r="D241" s="5" t="s">
        <v>8</v>
      </c>
      <c r="E241" s="6">
        <f>VALUE(2549.25)</f>
        <v>2549.25</v>
      </c>
      <c r="F241" s="5" t="s">
        <v>10</v>
      </c>
    </row>
    <row r="242" spans="1:6" ht="43.5">
      <c r="A242" s="1" t="s">
        <v>726</v>
      </c>
      <c r="B242" s="4" t="s">
        <v>727</v>
      </c>
      <c r="C242" s="3" t="s">
        <v>728</v>
      </c>
      <c r="D242" s="5" t="s">
        <v>8</v>
      </c>
      <c r="E242" s="6">
        <f>VALUE(2799)</f>
        <v>2799</v>
      </c>
      <c r="F242" s="5" t="s">
        <v>10</v>
      </c>
    </row>
    <row r="243" spans="1:6" ht="43.5">
      <c r="A243" s="1" t="s">
        <v>729</v>
      </c>
      <c r="B243" s="4" t="s">
        <v>730</v>
      </c>
      <c r="C243" s="3" t="s">
        <v>731</v>
      </c>
      <c r="D243" s="5" t="s">
        <v>8</v>
      </c>
      <c r="E243" s="6">
        <f>VALUE(2099.25)</f>
        <v>2099.25</v>
      </c>
      <c r="F243" s="5" t="s">
        <v>10</v>
      </c>
    </row>
    <row r="244" spans="1:6" ht="43.5">
      <c r="A244" s="1" t="s">
        <v>732</v>
      </c>
      <c r="B244" s="4" t="s">
        <v>733</v>
      </c>
      <c r="C244" s="3" t="s">
        <v>734</v>
      </c>
      <c r="D244" s="5" t="s">
        <v>8</v>
      </c>
      <c r="E244" s="6">
        <f>VALUE(2249.25)</f>
        <v>2249.25</v>
      </c>
      <c r="F244" s="5" t="s">
        <v>10</v>
      </c>
    </row>
    <row r="245" spans="1:6" ht="43.5">
      <c r="A245" s="1" t="s">
        <v>735</v>
      </c>
      <c r="B245" s="4" t="s">
        <v>736</v>
      </c>
      <c r="C245" s="3" t="s">
        <v>737</v>
      </c>
      <c r="D245" s="5" t="s">
        <v>8</v>
      </c>
      <c r="E245" s="6">
        <f>VALUE(2699.25)</f>
        <v>2699.25</v>
      </c>
      <c r="F245" s="5" t="s">
        <v>10</v>
      </c>
    </row>
    <row r="246" spans="1:6" ht="43.5">
      <c r="A246" s="1" t="s">
        <v>738</v>
      </c>
      <c r="B246" s="4" t="s">
        <v>739</v>
      </c>
      <c r="C246" s="3" t="s">
        <v>740</v>
      </c>
      <c r="D246" s="5" t="s">
        <v>8</v>
      </c>
      <c r="E246" s="6">
        <f>VALUE(3599)</f>
        <v>3599</v>
      </c>
      <c r="F246" s="5" t="s">
        <v>10</v>
      </c>
    </row>
    <row r="247" spans="1:6" ht="43.5">
      <c r="A247" s="1" t="s">
        <v>741</v>
      </c>
      <c r="B247" s="4" t="s">
        <v>742</v>
      </c>
      <c r="C247" s="3" t="s">
        <v>743</v>
      </c>
      <c r="D247" s="5" t="s">
        <v>8</v>
      </c>
      <c r="E247" s="6">
        <f>VALUE(2699.25)</f>
        <v>2699.25</v>
      </c>
      <c r="F247" s="5" t="s">
        <v>10</v>
      </c>
    </row>
    <row r="248" spans="1:6" ht="29">
      <c r="A248" s="1" t="s">
        <v>744</v>
      </c>
      <c r="B248" s="4" t="s">
        <v>745</v>
      </c>
      <c r="C248" s="3" t="s">
        <v>746</v>
      </c>
      <c r="D248" s="5" t="s">
        <v>8</v>
      </c>
      <c r="E248" s="6">
        <f>VALUE(2999)</f>
        <v>2999</v>
      </c>
      <c r="F248" s="5" t="s">
        <v>10</v>
      </c>
    </row>
    <row r="249" spans="1:6" ht="29">
      <c r="A249" s="1" t="s">
        <v>747</v>
      </c>
      <c r="B249" s="4" t="s">
        <v>748</v>
      </c>
      <c r="C249" s="3" t="s">
        <v>749</v>
      </c>
      <c r="D249" s="5" t="s">
        <v>8</v>
      </c>
      <c r="E249" s="6">
        <f>VALUE(2249.25)</f>
        <v>2249.25</v>
      </c>
      <c r="F249" s="5" t="s">
        <v>10</v>
      </c>
    </row>
    <row r="250" spans="1:6" ht="43.5">
      <c r="A250" s="1" t="s">
        <v>750</v>
      </c>
      <c r="B250" s="4" t="s">
        <v>751</v>
      </c>
      <c r="C250" s="3" t="s">
        <v>752</v>
      </c>
      <c r="D250" s="5" t="s">
        <v>8</v>
      </c>
      <c r="E250" s="6">
        <f>VALUE(1949.25)</f>
        <v>1949.25</v>
      </c>
      <c r="F250" s="5" t="s">
        <v>10</v>
      </c>
    </row>
    <row r="251" spans="1:6" ht="43.5">
      <c r="A251" s="1" t="s">
        <v>753</v>
      </c>
      <c r="B251" s="4" t="s">
        <v>754</v>
      </c>
      <c r="C251" s="3" t="s">
        <v>755</v>
      </c>
      <c r="D251" s="5" t="s">
        <v>8</v>
      </c>
      <c r="E251" s="6">
        <f>VALUE(2399.25)</f>
        <v>2399.25</v>
      </c>
      <c r="F251" s="5" t="s">
        <v>10</v>
      </c>
    </row>
    <row r="252" spans="1:6" ht="43.5">
      <c r="A252" s="1" t="s">
        <v>756</v>
      </c>
      <c r="B252" s="4" t="s">
        <v>757</v>
      </c>
      <c r="C252" s="3" t="s">
        <v>758</v>
      </c>
      <c r="D252" s="5" t="s">
        <v>8</v>
      </c>
      <c r="E252" s="6">
        <f>VALUE(3199)</f>
        <v>3199</v>
      </c>
      <c r="F252" s="5" t="s">
        <v>10</v>
      </c>
    </row>
    <row r="253" spans="1:6" ht="43.5">
      <c r="A253" s="1" t="s">
        <v>759</v>
      </c>
      <c r="B253" s="4" t="s">
        <v>760</v>
      </c>
      <c r="C253" s="3" t="s">
        <v>761</v>
      </c>
      <c r="D253" s="5" t="s">
        <v>8</v>
      </c>
      <c r="E253" s="6">
        <f>VALUE(2399.25)</f>
        <v>2399.25</v>
      </c>
      <c r="F253" s="5" t="s">
        <v>10</v>
      </c>
    </row>
    <row r="254" spans="1:6" ht="43.5">
      <c r="A254" s="1" t="s">
        <v>762</v>
      </c>
      <c r="B254" s="4" t="s">
        <v>763</v>
      </c>
      <c r="C254" s="3" t="s">
        <v>764</v>
      </c>
      <c r="D254" s="5" t="s">
        <v>8</v>
      </c>
      <c r="E254" s="6">
        <f>VALUE(2599)</f>
        <v>2599</v>
      </c>
      <c r="F254" s="5" t="s">
        <v>10</v>
      </c>
    </row>
    <row r="255" spans="1:6" ht="43.5">
      <c r="A255" s="1" t="s">
        <v>765</v>
      </c>
      <c r="B255" s="4" t="s">
        <v>766</v>
      </c>
      <c r="C255" s="3" t="s">
        <v>767</v>
      </c>
      <c r="D255" s="5" t="s">
        <v>8</v>
      </c>
      <c r="E255" s="6">
        <f>VALUE(1949.25)</f>
        <v>1949.25</v>
      </c>
      <c r="F255" s="5" t="s">
        <v>10</v>
      </c>
    </row>
    <row r="256" spans="1:6" ht="43.5">
      <c r="A256" s="1" t="s">
        <v>768</v>
      </c>
      <c r="B256" s="4" t="s">
        <v>769</v>
      </c>
      <c r="C256" s="3" t="s">
        <v>770</v>
      </c>
      <c r="D256" s="5" t="s">
        <v>8</v>
      </c>
      <c r="E256" s="6">
        <f>VALUE(9300)</f>
        <v>9300</v>
      </c>
      <c r="F256" s="5" t="s">
        <v>10</v>
      </c>
    </row>
    <row r="257" spans="1:6" ht="29">
      <c r="A257" s="1" t="s">
        <v>771</v>
      </c>
      <c r="B257" s="4" t="s">
        <v>772</v>
      </c>
      <c r="C257" s="3" t="s">
        <v>773</v>
      </c>
      <c r="D257" s="5" t="s">
        <v>8</v>
      </c>
      <c r="E257" s="6">
        <f>VALUE(12400)</f>
        <v>12400</v>
      </c>
      <c r="F257" s="5" t="s">
        <v>10</v>
      </c>
    </row>
    <row r="258" spans="1:6" ht="29">
      <c r="A258" s="1" t="s">
        <v>774</v>
      </c>
      <c r="B258" s="4" t="s">
        <v>775</v>
      </c>
      <c r="C258" s="3" t="s">
        <v>776</v>
      </c>
      <c r="D258" s="5" t="s">
        <v>8</v>
      </c>
      <c r="E258" s="6">
        <f>VALUE(9300)</f>
        <v>9300</v>
      </c>
      <c r="F258" s="5" t="s">
        <v>10</v>
      </c>
    </row>
    <row r="259" spans="1:6" ht="29">
      <c r="A259" s="1" t="s">
        <v>777</v>
      </c>
      <c r="B259" s="4" t="s">
        <v>778</v>
      </c>
      <c r="C259" s="3" t="s">
        <v>779</v>
      </c>
      <c r="D259" s="5" t="s">
        <v>8</v>
      </c>
      <c r="E259" s="6">
        <f>VALUE(6300)</f>
        <v>6300</v>
      </c>
      <c r="F259" s="5" t="s">
        <v>10</v>
      </c>
    </row>
    <row r="260" spans="1:6" ht="29">
      <c r="A260" s="1" t="s">
        <v>780</v>
      </c>
      <c r="B260" s="4" t="s">
        <v>781</v>
      </c>
      <c r="C260" s="3" t="s">
        <v>782</v>
      </c>
      <c r="D260" s="5" t="s">
        <v>8</v>
      </c>
      <c r="E260" s="6">
        <f>VALUE(8400)</f>
        <v>8400</v>
      </c>
      <c r="F260" s="5" t="s">
        <v>10</v>
      </c>
    </row>
    <row r="261" spans="1:6" ht="29">
      <c r="A261" s="1" t="s">
        <v>783</v>
      </c>
      <c r="B261" s="4" t="s">
        <v>784</v>
      </c>
      <c r="C261" s="3" t="s">
        <v>785</v>
      </c>
      <c r="D261" s="5" t="s">
        <v>8</v>
      </c>
      <c r="E261" s="6">
        <f>VALUE(6300)</f>
        <v>6300</v>
      </c>
      <c r="F261" s="5" t="s">
        <v>10</v>
      </c>
    </row>
    <row r="262" spans="1:6" ht="29">
      <c r="A262" s="1" t="s">
        <v>786</v>
      </c>
      <c r="B262" s="4" t="s">
        <v>787</v>
      </c>
      <c r="C262" s="3" t="s">
        <v>788</v>
      </c>
      <c r="D262" s="5" t="s">
        <v>8</v>
      </c>
      <c r="E262" s="6">
        <f>VALUE(2925)</f>
        <v>2925</v>
      </c>
      <c r="F262" s="5" t="s">
        <v>10</v>
      </c>
    </row>
    <row r="263" spans="1:6" ht="29">
      <c r="A263" s="1" t="s">
        <v>789</v>
      </c>
      <c r="B263" s="4" t="s">
        <v>790</v>
      </c>
      <c r="C263" s="3" t="s">
        <v>791</v>
      </c>
      <c r="D263" s="5" t="s">
        <v>8</v>
      </c>
      <c r="E263" s="6">
        <f>VALUE(3900)</f>
        <v>3900</v>
      </c>
      <c r="F263" s="5" t="s">
        <v>10</v>
      </c>
    </row>
    <row r="264" spans="1:6" ht="29">
      <c r="A264" s="1" t="s">
        <v>792</v>
      </c>
      <c r="B264" s="4" t="s">
        <v>793</v>
      </c>
      <c r="C264" s="3" t="s">
        <v>794</v>
      </c>
      <c r="D264" s="5" t="s">
        <v>8</v>
      </c>
      <c r="E264" s="6">
        <f>VALUE(1498)</f>
        <v>1498</v>
      </c>
      <c r="F264" s="5" t="s">
        <v>10</v>
      </c>
    </row>
    <row r="265" spans="1:6" ht="29">
      <c r="A265" s="1" t="s">
        <v>795</v>
      </c>
      <c r="B265" s="4" t="s">
        <v>796</v>
      </c>
      <c r="C265" s="3" t="s">
        <v>797</v>
      </c>
      <c r="D265" s="5" t="s">
        <v>8</v>
      </c>
      <c r="E265" s="6">
        <f>VALUE(1123.5)</f>
        <v>1123.5</v>
      </c>
      <c r="F265" s="5" t="s">
        <v>10</v>
      </c>
    </row>
    <row r="266" spans="1:6" ht="43.5">
      <c r="A266" s="1" t="s">
        <v>798</v>
      </c>
      <c r="B266" s="4" t="s">
        <v>799</v>
      </c>
      <c r="C266" s="3" t="s">
        <v>800</v>
      </c>
      <c r="D266" s="5" t="s">
        <v>8</v>
      </c>
      <c r="E266" s="6">
        <f>VALUE(1348.5)</f>
        <v>1348.5</v>
      </c>
      <c r="F266" s="5" t="s">
        <v>10</v>
      </c>
    </row>
    <row r="267" spans="1:6" ht="29">
      <c r="A267" s="1" t="s">
        <v>801</v>
      </c>
      <c r="B267" s="4" t="s">
        <v>802</v>
      </c>
      <c r="C267" s="3" t="s">
        <v>803</v>
      </c>
      <c r="D267" s="5" t="s">
        <v>8</v>
      </c>
      <c r="E267" s="6">
        <f>VALUE(1798)</f>
        <v>1798</v>
      </c>
      <c r="F267" s="5" t="s">
        <v>10</v>
      </c>
    </row>
    <row r="268" spans="1:6" ht="29">
      <c r="A268" s="1" t="s">
        <v>804</v>
      </c>
      <c r="B268" s="4" t="s">
        <v>805</v>
      </c>
      <c r="C268" s="3" t="s">
        <v>806</v>
      </c>
      <c r="D268" s="5" t="s">
        <v>8</v>
      </c>
      <c r="E268" s="6">
        <f>VALUE(1348.5)</f>
        <v>1348.5</v>
      </c>
      <c r="F268" s="5" t="s">
        <v>10</v>
      </c>
    </row>
    <row r="269" spans="1:6" ht="43.5">
      <c r="A269" s="1" t="s">
        <v>807</v>
      </c>
      <c r="B269" s="4" t="s">
        <v>808</v>
      </c>
      <c r="C269" s="3" t="s">
        <v>809</v>
      </c>
      <c r="D269" s="5" t="s">
        <v>8</v>
      </c>
      <c r="E269" s="6">
        <f>VALUE(405)</f>
        <v>405</v>
      </c>
      <c r="F269" s="5" t="s">
        <v>10</v>
      </c>
    </row>
    <row r="270" spans="1:6" ht="29">
      <c r="A270" s="1" t="s">
        <v>810</v>
      </c>
      <c r="B270" s="4" t="s">
        <v>811</v>
      </c>
      <c r="C270" s="3" t="s">
        <v>812</v>
      </c>
      <c r="D270" s="5" t="s">
        <v>8</v>
      </c>
      <c r="E270" s="6">
        <f>VALUE(540)</f>
        <v>540</v>
      </c>
      <c r="F270" s="5" t="s">
        <v>10</v>
      </c>
    </row>
    <row r="271" spans="1:6" ht="29">
      <c r="A271" s="1" t="s">
        <v>813</v>
      </c>
      <c r="B271" s="4" t="s">
        <v>814</v>
      </c>
      <c r="C271" s="3" t="s">
        <v>815</v>
      </c>
      <c r="D271" s="5" t="s">
        <v>8</v>
      </c>
      <c r="E271" s="6">
        <f>VALUE(405)</f>
        <v>405</v>
      </c>
      <c r="F271" s="5" t="s">
        <v>10</v>
      </c>
    </row>
    <row r="272" spans="1:6" ht="43.5">
      <c r="A272" s="1" t="s">
        <v>816</v>
      </c>
      <c r="B272" s="4" t="s">
        <v>817</v>
      </c>
      <c r="C272" s="3" t="s">
        <v>818</v>
      </c>
      <c r="D272" s="5" t="s">
        <v>8</v>
      </c>
      <c r="E272" s="6">
        <f>VALUE(524.25)</f>
        <v>524.25</v>
      </c>
      <c r="F272" s="5" t="s">
        <v>10</v>
      </c>
    </row>
    <row r="273" spans="1:6" ht="29">
      <c r="A273" s="1" t="s">
        <v>819</v>
      </c>
      <c r="B273" s="4" t="s">
        <v>820</v>
      </c>
      <c r="C273" s="3" t="s">
        <v>821</v>
      </c>
      <c r="D273" s="5" t="s">
        <v>8</v>
      </c>
      <c r="E273" s="6">
        <f>VALUE(699)</f>
        <v>699</v>
      </c>
      <c r="F273" s="5" t="s">
        <v>10</v>
      </c>
    </row>
    <row r="274" spans="1:6" ht="29">
      <c r="A274" s="1" t="s">
        <v>822</v>
      </c>
      <c r="B274" s="4" t="s">
        <v>823</v>
      </c>
      <c r="C274" s="3" t="s">
        <v>824</v>
      </c>
      <c r="D274" s="5" t="s">
        <v>8</v>
      </c>
      <c r="E274" s="6">
        <f>VALUE(524.25)</f>
        <v>524.25</v>
      </c>
      <c r="F274" s="5" t="s">
        <v>10</v>
      </c>
    </row>
    <row r="275" spans="1:6" ht="43.5">
      <c r="A275" s="1" t="s">
        <v>825</v>
      </c>
      <c r="B275" s="4" t="s">
        <v>826</v>
      </c>
      <c r="C275" s="3" t="s">
        <v>827</v>
      </c>
      <c r="D275" s="5" t="s">
        <v>8</v>
      </c>
      <c r="E275" s="6">
        <f>VALUE(591.75)</f>
        <v>591.75</v>
      </c>
      <c r="F275" s="5" t="s">
        <v>10</v>
      </c>
    </row>
    <row r="276" spans="1:6" ht="29">
      <c r="A276" s="1" t="s">
        <v>828</v>
      </c>
      <c r="B276" s="4" t="s">
        <v>829</v>
      </c>
      <c r="C276" s="3" t="s">
        <v>830</v>
      </c>
      <c r="D276" s="5" t="s">
        <v>8</v>
      </c>
      <c r="E276" s="6">
        <f>VALUE(789)</f>
        <v>789</v>
      </c>
      <c r="F276" s="5" t="s">
        <v>10</v>
      </c>
    </row>
    <row r="277" spans="1:6" ht="29">
      <c r="A277" s="1" t="s">
        <v>831</v>
      </c>
      <c r="B277" s="4" t="s">
        <v>832</v>
      </c>
      <c r="C277" s="3" t="s">
        <v>833</v>
      </c>
      <c r="D277" s="5" t="s">
        <v>8</v>
      </c>
      <c r="E277" s="6">
        <f>VALUE(591.75)</f>
        <v>591.75</v>
      </c>
      <c r="F277" s="5" t="s">
        <v>10</v>
      </c>
    </row>
    <row r="278" spans="1:6" ht="43.5">
      <c r="A278" s="1" t="s">
        <v>834</v>
      </c>
      <c r="B278" s="4" t="s">
        <v>835</v>
      </c>
      <c r="C278" s="3" t="s">
        <v>836</v>
      </c>
      <c r="D278" s="5" t="s">
        <v>8</v>
      </c>
      <c r="E278" s="6">
        <f>VALUE(892.5)</f>
        <v>892.5</v>
      </c>
      <c r="F278" s="5" t="s">
        <v>10</v>
      </c>
    </row>
    <row r="279" spans="1:6" ht="43.5">
      <c r="A279" s="1" t="s">
        <v>837</v>
      </c>
      <c r="B279" s="4" t="s">
        <v>838</v>
      </c>
      <c r="C279" s="3" t="s">
        <v>839</v>
      </c>
      <c r="D279" s="5" t="s">
        <v>8</v>
      </c>
      <c r="E279" s="6">
        <f>VALUE(1190)</f>
        <v>1190</v>
      </c>
      <c r="F279" s="5" t="s">
        <v>10</v>
      </c>
    </row>
    <row r="280" spans="1:6" ht="29">
      <c r="A280" s="1" t="s">
        <v>840</v>
      </c>
      <c r="B280" s="4" t="s">
        <v>841</v>
      </c>
      <c r="C280" s="3" t="s">
        <v>842</v>
      </c>
      <c r="D280" s="5" t="s">
        <v>8</v>
      </c>
      <c r="E280" s="6">
        <f>VALUE(892.5)</f>
        <v>892.5</v>
      </c>
      <c r="F280" s="5" t="s">
        <v>10</v>
      </c>
    </row>
    <row r="281" spans="1:6" ht="43.5">
      <c r="A281" s="1" t="s">
        <v>843</v>
      </c>
      <c r="B281" s="4" t="s">
        <v>844</v>
      </c>
      <c r="C281" s="3" t="s">
        <v>845</v>
      </c>
      <c r="D281" s="5" t="s">
        <v>8</v>
      </c>
      <c r="E281" s="6">
        <f>VALUE(591.75)</f>
        <v>591.75</v>
      </c>
      <c r="F281" s="5" t="s">
        <v>10</v>
      </c>
    </row>
    <row r="282" spans="1:6" ht="43.5">
      <c r="A282" s="1" t="s">
        <v>846</v>
      </c>
      <c r="B282" s="4" t="s">
        <v>847</v>
      </c>
      <c r="C282" s="3" t="s">
        <v>848</v>
      </c>
      <c r="D282" s="5" t="s">
        <v>8</v>
      </c>
      <c r="E282" s="6">
        <f>VALUE(789)</f>
        <v>789</v>
      </c>
      <c r="F282" s="5" t="s">
        <v>10</v>
      </c>
    </row>
    <row r="283" spans="1:6" ht="43.5">
      <c r="A283" s="1" t="s">
        <v>849</v>
      </c>
      <c r="B283" s="4" t="s">
        <v>850</v>
      </c>
      <c r="C283" s="3" t="s">
        <v>851</v>
      </c>
      <c r="D283" s="5" t="s">
        <v>8</v>
      </c>
      <c r="E283" s="6">
        <f>VALUE(591.75)</f>
        <v>591.75</v>
      </c>
      <c r="F283" s="5" t="s">
        <v>10</v>
      </c>
    </row>
    <row r="284" spans="1:6" ht="43.5">
      <c r="A284" s="1" t="s">
        <v>852</v>
      </c>
      <c r="B284" s="4" t="s">
        <v>853</v>
      </c>
      <c r="C284" s="3" t="s">
        <v>854</v>
      </c>
      <c r="D284" s="5" t="s">
        <v>8</v>
      </c>
      <c r="E284" s="6">
        <f>VALUE(450)</f>
        <v>450</v>
      </c>
      <c r="F284" s="5" t="s">
        <v>10</v>
      </c>
    </row>
    <row r="285" spans="1:6" ht="43.5">
      <c r="A285" s="1" t="s">
        <v>855</v>
      </c>
      <c r="B285" s="4" t="s">
        <v>856</v>
      </c>
      <c r="C285" s="3" t="s">
        <v>857</v>
      </c>
      <c r="D285" s="5" t="s">
        <v>8</v>
      </c>
      <c r="E285" s="6">
        <f>VALUE(600)</f>
        <v>600</v>
      </c>
      <c r="F285" s="5" t="s">
        <v>10</v>
      </c>
    </row>
    <row r="286" spans="1:6" ht="43.5">
      <c r="A286" s="1" t="s">
        <v>858</v>
      </c>
      <c r="B286" s="4" t="s">
        <v>859</v>
      </c>
      <c r="C286" s="3" t="s">
        <v>860</v>
      </c>
      <c r="D286" s="5" t="s">
        <v>8</v>
      </c>
      <c r="E286" s="6">
        <f>VALUE(450)</f>
        <v>450</v>
      </c>
      <c r="F286" s="5" t="s">
        <v>10</v>
      </c>
    </row>
    <row r="287" spans="1:6" ht="58">
      <c r="A287" s="1" t="s">
        <v>861</v>
      </c>
      <c r="B287" s="4" t="s">
        <v>862</v>
      </c>
      <c r="C287" s="3" t="s">
        <v>863</v>
      </c>
      <c r="D287" s="5" t="s">
        <v>8</v>
      </c>
      <c r="E287" s="6">
        <f>VALUE(375)</f>
        <v>375</v>
      </c>
      <c r="F287" s="5" t="s">
        <v>10</v>
      </c>
    </row>
    <row r="288" spans="1:6" ht="58">
      <c r="A288" s="1" t="s">
        <v>864</v>
      </c>
      <c r="B288" s="4" t="s">
        <v>865</v>
      </c>
      <c r="C288" s="3" t="s">
        <v>866</v>
      </c>
      <c r="D288" s="5" t="s">
        <v>8</v>
      </c>
      <c r="E288" s="6">
        <f>VALUE(500)</f>
        <v>500</v>
      </c>
      <c r="F288" s="5" t="s">
        <v>10</v>
      </c>
    </row>
    <row r="289" spans="1:6" ht="58">
      <c r="A289" s="1" t="s">
        <v>867</v>
      </c>
      <c r="B289" s="4" t="s">
        <v>868</v>
      </c>
      <c r="C289" s="3" t="s">
        <v>869</v>
      </c>
      <c r="D289" s="5" t="s">
        <v>8</v>
      </c>
      <c r="E289" s="6">
        <f>VALUE(375)</f>
        <v>375</v>
      </c>
      <c r="F289" s="5" t="s">
        <v>10</v>
      </c>
    </row>
    <row r="290" spans="1:6" ht="43.5">
      <c r="A290" s="1" t="s">
        <v>870</v>
      </c>
      <c r="B290" s="4" t="s">
        <v>871</v>
      </c>
      <c r="C290" s="3" t="s">
        <v>872</v>
      </c>
      <c r="D290" s="5" t="s">
        <v>8</v>
      </c>
      <c r="E290" s="6">
        <f>VALUE(2624.25)</f>
        <v>2624.25</v>
      </c>
      <c r="F290" s="5" t="s">
        <v>10</v>
      </c>
    </row>
    <row r="291" spans="1:6" ht="29">
      <c r="A291" s="1" t="s">
        <v>873</v>
      </c>
      <c r="B291" s="4" t="s">
        <v>874</v>
      </c>
      <c r="C291" s="3" t="s">
        <v>875</v>
      </c>
      <c r="D291" s="5" t="s">
        <v>8</v>
      </c>
      <c r="E291" s="6">
        <f>VALUE(3499)</f>
        <v>3499</v>
      </c>
      <c r="F291" s="5" t="s">
        <v>10</v>
      </c>
    </row>
    <row r="292" spans="1:6" ht="29">
      <c r="A292" s="1" t="s">
        <v>876</v>
      </c>
      <c r="B292" s="4" t="s">
        <v>877</v>
      </c>
      <c r="C292" s="3" t="s">
        <v>878</v>
      </c>
      <c r="D292" s="5" t="s">
        <v>8</v>
      </c>
      <c r="E292" s="6">
        <f>VALUE(2624.25)</f>
        <v>2624.25</v>
      </c>
      <c r="F292" s="5" t="s">
        <v>10</v>
      </c>
    </row>
    <row r="293" spans="1:6" ht="43.5">
      <c r="A293" s="1" t="s">
        <v>879</v>
      </c>
      <c r="B293" s="4" t="s">
        <v>880</v>
      </c>
      <c r="C293" s="3" t="s">
        <v>881</v>
      </c>
      <c r="D293" s="5" t="s">
        <v>8</v>
      </c>
      <c r="E293" s="6">
        <f>VALUE(2699.25)</f>
        <v>2699.25</v>
      </c>
      <c r="F293" s="5" t="s">
        <v>10</v>
      </c>
    </row>
    <row r="294" spans="1:6" ht="29">
      <c r="A294" s="1" t="s">
        <v>882</v>
      </c>
      <c r="B294" s="4" t="s">
        <v>883</v>
      </c>
      <c r="C294" s="3" t="s">
        <v>884</v>
      </c>
      <c r="D294" s="5" t="s">
        <v>8</v>
      </c>
      <c r="E294" s="6">
        <f>VALUE(3599)</f>
        <v>3599</v>
      </c>
      <c r="F294" s="5" t="s">
        <v>10</v>
      </c>
    </row>
    <row r="295" spans="1:6" ht="29">
      <c r="A295" s="1" t="s">
        <v>885</v>
      </c>
      <c r="B295" s="4" t="s">
        <v>886</v>
      </c>
      <c r="C295" s="3" t="s">
        <v>887</v>
      </c>
      <c r="D295" s="5" t="s">
        <v>8</v>
      </c>
      <c r="E295" s="6">
        <f>VALUE(2699.25)</f>
        <v>2699.25</v>
      </c>
      <c r="F295" s="5" t="s">
        <v>10</v>
      </c>
    </row>
    <row r="296" spans="1:6" ht="43.5">
      <c r="A296" s="1" t="s">
        <v>888</v>
      </c>
      <c r="B296" s="4" t="s">
        <v>889</v>
      </c>
      <c r="C296" s="3" t="s">
        <v>890</v>
      </c>
      <c r="D296" s="5" t="s">
        <v>8</v>
      </c>
      <c r="E296" s="6">
        <f>VALUE(2624.25)</f>
        <v>2624.25</v>
      </c>
      <c r="F296" s="5" t="s">
        <v>10</v>
      </c>
    </row>
    <row r="297" spans="1:6" ht="29">
      <c r="A297" s="1" t="s">
        <v>891</v>
      </c>
      <c r="B297" s="4" t="s">
        <v>892</v>
      </c>
      <c r="C297" s="3" t="s">
        <v>893</v>
      </c>
      <c r="D297" s="5" t="s">
        <v>8</v>
      </c>
      <c r="E297" s="6">
        <f>VALUE(3499)</f>
        <v>3499</v>
      </c>
      <c r="F297" s="5" t="s">
        <v>10</v>
      </c>
    </row>
    <row r="298" spans="1:6" ht="29">
      <c r="A298" s="1" t="s">
        <v>894</v>
      </c>
      <c r="B298" s="4" t="s">
        <v>895</v>
      </c>
      <c r="C298" s="3" t="s">
        <v>896</v>
      </c>
      <c r="D298" s="5" t="s">
        <v>8</v>
      </c>
      <c r="E298" s="6">
        <f>VALUE(2624.25)</f>
        <v>2624.25</v>
      </c>
      <c r="F298" s="5" t="s">
        <v>10</v>
      </c>
    </row>
    <row r="299" spans="1:6" ht="43.5">
      <c r="A299" s="1" t="s">
        <v>897</v>
      </c>
      <c r="B299" s="4" t="s">
        <v>898</v>
      </c>
      <c r="C299" s="3" t="s">
        <v>899</v>
      </c>
      <c r="D299" s="5" t="s">
        <v>8</v>
      </c>
      <c r="E299" s="6">
        <f>VALUE(2699.25)</f>
        <v>2699.25</v>
      </c>
      <c r="F299" s="5" t="s">
        <v>10</v>
      </c>
    </row>
    <row r="300" spans="1:6" ht="29">
      <c r="A300" s="1" t="s">
        <v>900</v>
      </c>
      <c r="B300" s="4" t="s">
        <v>901</v>
      </c>
      <c r="C300" s="3" t="s">
        <v>902</v>
      </c>
      <c r="D300" s="5" t="s">
        <v>8</v>
      </c>
      <c r="E300" s="6">
        <f>VALUE(3599)</f>
        <v>3599</v>
      </c>
      <c r="F300" s="5" t="s">
        <v>10</v>
      </c>
    </row>
    <row r="301" spans="1:6" ht="29">
      <c r="A301" s="1" t="s">
        <v>903</v>
      </c>
      <c r="B301" s="4" t="s">
        <v>904</v>
      </c>
      <c r="C301" s="3" t="s">
        <v>905</v>
      </c>
      <c r="D301" s="5" t="s">
        <v>8</v>
      </c>
      <c r="E301" s="6">
        <f>VALUE(2699.25)</f>
        <v>2699.25</v>
      </c>
      <c r="F301" s="5" t="s">
        <v>10</v>
      </c>
    </row>
    <row r="302" spans="1:6" ht="29">
      <c r="A302" s="1" t="s">
        <v>906</v>
      </c>
      <c r="B302" s="4" t="s">
        <v>907</v>
      </c>
      <c r="C302" s="3" t="s">
        <v>908</v>
      </c>
      <c r="D302" s="5" t="s">
        <v>8</v>
      </c>
      <c r="E302" s="6">
        <f>VALUE(329.25)</f>
        <v>329.25</v>
      </c>
      <c r="F302" s="5" t="s">
        <v>10</v>
      </c>
    </row>
    <row r="303" spans="1:6" ht="29">
      <c r="A303" s="1" t="s">
        <v>909</v>
      </c>
      <c r="B303" s="4" t="s">
        <v>910</v>
      </c>
      <c r="C303" s="3" t="s">
        <v>911</v>
      </c>
      <c r="D303" s="5" t="s">
        <v>8</v>
      </c>
      <c r="E303" s="6">
        <f>VALUE(439)</f>
        <v>439</v>
      </c>
      <c r="F303" s="5" t="s">
        <v>10</v>
      </c>
    </row>
    <row r="304" spans="1:6" ht="29">
      <c r="A304" s="1" t="s">
        <v>912</v>
      </c>
      <c r="B304" s="4" t="s">
        <v>913</v>
      </c>
      <c r="C304" s="3" t="s">
        <v>914</v>
      </c>
      <c r="D304" s="5" t="s">
        <v>8</v>
      </c>
      <c r="E304" s="6">
        <f>VALUE(329.25)</f>
        <v>329.25</v>
      </c>
      <c r="F304" s="5" t="s">
        <v>10</v>
      </c>
    </row>
    <row r="305" spans="1:6" ht="29">
      <c r="A305" s="1" t="s">
        <v>915</v>
      </c>
      <c r="B305" s="4" t="s">
        <v>916</v>
      </c>
      <c r="C305" s="3" t="s">
        <v>917</v>
      </c>
      <c r="D305" s="5" t="s">
        <v>8</v>
      </c>
      <c r="E305" s="6">
        <f>VALUE(329.25)</f>
        <v>329.25</v>
      </c>
      <c r="F305" s="5" t="s">
        <v>10</v>
      </c>
    </row>
    <row r="306" spans="1:6" ht="29">
      <c r="A306" s="1" t="s">
        <v>918</v>
      </c>
      <c r="B306" s="4" t="s">
        <v>919</v>
      </c>
      <c r="C306" s="3" t="s">
        <v>920</v>
      </c>
      <c r="D306" s="5" t="s">
        <v>8</v>
      </c>
      <c r="E306" s="6">
        <f>VALUE(439)</f>
        <v>439</v>
      </c>
      <c r="F306" s="5" t="s">
        <v>10</v>
      </c>
    </row>
    <row r="307" spans="1:6" ht="29">
      <c r="A307" s="1" t="s">
        <v>921</v>
      </c>
      <c r="B307" s="4" t="s">
        <v>922</v>
      </c>
      <c r="C307" s="3" t="s">
        <v>923</v>
      </c>
      <c r="D307" s="5" t="s">
        <v>8</v>
      </c>
      <c r="E307" s="6">
        <f>VALUE(329.25)</f>
        <v>329.25</v>
      </c>
      <c r="F307" s="5" t="s">
        <v>10</v>
      </c>
    </row>
    <row r="308" spans="1:6" ht="29">
      <c r="A308" s="1" t="s">
        <v>924</v>
      </c>
      <c r="B308" s="4" t="s">
        <v>925</v>
      </c>
      <c r="C308" s="3" t="s">
        <v>926</v>
      </c>
      <c r="D308" s="5" t="s">
        <v>8</v>
      </c>
      <c r="E308" s="6">
        <f>VALUE(359.25)</f>
        <v>359.25</v>
      </c>
      <c r="F308" s="5" t="s">
        <v>10</v>
      </c>
    </row>
    <row r="309" spans="1:6" ht="29">
      <c r="A309" s="1" t="s">
        <v>927</v>
      </c>
      <c r="B309" s="4" t="s">
        <v>928</v>
      </c>
      <c r="C309" s="3" t="s">
        <v>929</v>
      </c>
      <c r="D309" s="5" t="s">
        <v>8</v>
      </c>
      <c r="E309" s="6">
        <f>VALUE(479)</f>
        <v>479</v>
      </c>
      <c r="F309" s="5" t="s">
        <v>10</v>
      </c>
    </row>
    <row r="310" spans="1:6" ht="29">
      <c r="A310" s="1" t="s">
        <v>930</v>
      </c>
      <c r="B310" s="4" t="s">
        <v>931</v>
      </c>
      <c r="C310" s="3" t="s">
        <v>932</v>
      </c>
      <c r="D310" s="5" t="s">
        <v>8</v>
      </c>
      <c r="E310" s="6">
        <f>VALUE(359.25)</f>
        <v>359.25</v>
      </c>
      <c r="F310" s="5" t="s">
        <v>10</v>
      </c>
    </row>
    <row r="311" spans="1:6" ht="29">
      <c r="A311" s="1" t="s">
        <v>933</v>
      </c>
      <c r="B311" s="4" t="s">
        <v>934</v>
      </c>
      <c r="C311" s="3" t="s">
        <v>935</v>
      </c>
      <c r="D311" s="5" t="s">
        <v>8</v>
      </c>
      <c r="E311" s="6">
        <f>VALUE(224.25)</f>
        <v>224.25</v>
      </c>
      <c r="F311" s="5" t="s">
        <v>10</v>
      </c>
    </row>
    <row r="312" spans="1:6" ht="29">
      <c r="A312" s="1" t="s">
        <v>936</v>
      </c>
      <c r="B312" s="4" t="s">
        <v>937</v>
      </c>
      <c r="C312" s="3" t="s">
        <v>938</v>
      </c>
      <c r="D312" s="5" t="s">
        <v>8</v>
      </c>
      <c r="E312" s="6">
        <f>VALUE(299)</f>
        <v>299</v>
      </c>
      <c r="F312" s="5" t="s">
        <v>10</v>
      </c>
    </row>
    <row r="313" spans="1:6" ht="29">
      <c r="A313" s="1" t="s">
        <v>939</v>
      </c>
      <c r="B313" s="4" t="s">
        <v>940</v>
      </c>
      <c r="C313" s="3" t="s">
        <v>941</v>
      </c>
      <c r="D313" s="5" t="s">
        <v>8</v>
      </c>
      <c r="E313" s="6">
        <f>VALUE(224.25)</f>
        <v>224.25</v>
      </c>
      <c r="F313" s="5" t="s">
        <v>10</v>
      </c>
    </row>
    <row r="314" spans="1:6" ht="29">
      <c r="A314" s="1" t="s">
        <v>942</v>
      </c>
      <c r="B314" s="4" t="s">
        <v>943</v>
      </c>
      <c r="C314" s="3" t="s">
        <v>944</v>
      </c>
      <c r="D314" s="5" t="s">
        <v>8</v>
      </c>
      <c r="E314" s="6">
        <f>VALUE(224.25)</f>
        <v>224.25</v>
      </c>
      <c r="F314" s="5" t="s">
        <v>10</v>
      </c>
    </row>
    <row r="315" spans="1:6" ht="29">
      <c r="A315" s="1" t="s">
        <v>945</v>
      </c>
      <c r="B315" s="4" t="s">
        <v>946</v>
      </c>
      <c r="C315" s="3" t="s">
        <v>947</v>
      </c>
      <c r="D315" s="5" t="s">
        <v>8</v>
      </c>
      <c r="E315" s="6">
        <f>VALUE(299)</f>
        <v>299</v>
      </c>
      <c r="F315" s="5" t="s">
        <v>10</v>
      </c>
    </row>
    <row r="316" spans="1:6" ht="29">
      <c r="A316" s="1" t="s">
        <v>948</v>
      </c>
      <c r="B316" s="4" t="s">
        <v>949</v>
      </c>
      <c r="C316" s="3" t="s">
        <v>950</v>
      </c>
      <c r="D316" s="5" t="s">
        <v>8</v>
      </c>
      <c r="E316" s="6">
        <f>VALUE(224.25)</f>
        <v>224.25</v>
      </c>
      <c r="F316" s="5" t="s">
        <v>10</v>
      </c>
    </row>
    <row r="317" spans="1:6" ht="29">
      <c r="A317" s="1" t="s">
        <v>951</v>
      </c>
      <c r="B317" s="4" t="s">
        <v>952</v>
      </c>
      <c r="C317" s="3" t="s">
        <v>953</v>
      </c>
      <c r="D317" s="5" t="s">
        <v>8</v>
      </c>
      <c r="E317" s="6">
        <f>VALUE(254.25)</f>
        <v>254.25</v>
      </c>
      <c r="F317" s="5" t="s">
        <v>10</v>
      </c>
    </row>
    <row r="318" spans="1:6" ht="29">
      <c r="A318" s="1" t="s">
        <v>954</v>
      </c>
      <c r="B318" s="4" t="s">
        <v>955</v>
      </c>
      <c r="C318" s="3" t="s">
        <v>956</v>
      </c>
      <c r="D318" s="5" t="s">
        <v>8</v>
      </c>
      <c r="E318" s="6">
        <f>VALUE(2925)</f>
        <v>2925</v>
      </c>
      <c r="F318" s="5" t="s">
        <v>10</v>
      </c>
    </row>
    <row r="319" spans="1:6" ht="29">
      <c r="A319" s="1" t="s">
        <v>957</v>
      </c>
      <c r="B319" s="4" t="s">
        <v>958</v>
      </c>
      <c r="C319" s="3" t="s">
        <v>959</v>
      </c>
      <c r="D319" s="5" t="s">
        <v>8</v>
      </c>
      <c r="E319" s="6">
        <f>VALUE(7350)</f>
        <v>7350</v>
      </c>
      <c r="F319" s="5" t="s">
        <v>10</v>
      </c>
    </row>
    <row r="320" spans="1:6" ht="29">
      <c r="A320" s="1" t="s">
        <v>960</v>
      </c>
      <c r="B320" s="4" t="s">
        <v>961</v>
      </c>
      <c r="C320" s="3" t="s">
        <v>962</v>
      </c>
      <c r="D320" s="5" t="s">
        <v>8</v>
      </c>
      <c r="E320" s="6">
        <f>VALUE(9800)</f>
        <v>9800</v>
      </c>
      <c r="F320" s="5" t="s">
        <v>10</v>
      </c>
    </row>
    <row r="321" spans="1:6" ht="29">
      <c r="A321" s="1" t="s">
        <v>963</v>
      </c>
      <c r="B321" s="4" t="s">
        <v>964</v>
      </c>
      <c r="C321" s="3" t="s">
        <v>965</v>
      </c>
      <c r="D321" s="5" t="s">
        <v>8</v>
      </c>
      <c r="E321" s="6">
        <f>VALUE(7350)</f>
        <v>7350</v>
      </c>
      <c r="F321" s="5" t="s">
        <v>10</v>
      </c>
    </row>
    <row r="322" spans="1:6" ht="29">
      <c r="A322" s="1" t="s">
        <v>966</v>
      </c>
      <c r="B322" s="4" t="s">
        <v>967</v>
      </c>
      <c r="C322" s="3" t="s">
        <v>968</v>
      </c>
      <c r="D322" s="5" t="s">
        <v>8</v>
      </c>
      <c r="E322" s="6">
        <f>VALUE(7200)</f>
        <v>7200</v>
      </c>
      <c r="F322" s="5" t="s">
        <v>10</v>
      </c>
    </row>
    <row r="323" spans="1:6" ht="29">
      <c r="A323" s="1" t="s">
        <v>969</v>
      </c>
      <c r="B323" s="4" t="s">
        <v>970</v>
      </c>
      <c r="C323" s="3" t="s">
        <v>971</v>
      </c>
      <c r="D323" s="5" t="s">
        <v>8</v>
      </c>
      <c r="E323" s="6">
        <f>VALUE(9600)</f>
        <v>9600</v>
      </c>
      <c r="F323" s="5" t="s">
        <v>10</v>
      </c>
    </row>
    <row r="324" spans="1:6" ht="29">
      <c r="A324" s="1" t="s">
        <v>972</v>
      </c>
      <c r="B324" s="4" t="s">
        <v>973</v>
      </c>
      <c r="C324" s="3" t="s">
        <v>974</v>
      </c>
      <c r="D324" s="5" t="s">
        <v>8</v>
      </c>
      <c r="E324" s="6">
        <f>VALUE(7200)</f>
        <v>7200</v>
      </c>
      <c r="F324" s="5" t="s">
        <v>10</v>
      </c>
    </row>
    <row r="325" spans="1:6" ht="29">
      <c r="A325" s="1" t="s">
        <v>975</v>
      </c>
      <c r="B325" s="4" t="s">
        <v>976</v>
      </c>
      <c r="C325" s="3" t="s">
        <v>977</v>
      </c>
      <c r="D325" s="5" t="s">
        <v>8</v>
      </c>
      <c r="E325" s="6">
        <f>VALUE(6450)</f>
        <v>6450</v>
      </c>
      <c r="F325" s="5" t="s">
        <v>10</v>
      </c>
    </row>
    <row r="326" spans="1:6" ht="29">
      <c r="A326" s="1" t="s">
        <v>978</v>
      </c>
      <c r="B326" s="4" t="s">
        <v>979</v>
      </c>
      <c r="C326" s="3" t="s">
        <v>980</v>
      </c>
      <c r="D326" s="5" t="s">
        <v>8</v>
      </c>
      <c r="E326" s="6">
        <f>VALUE(8600)</f>
        <v>8600</v>
      </c>
      <c r="F326" s="5" t="s">
        <v>10</v>
      </c>
    </row>
    <row r="327" spans="1:6" ht="29">
      <c r="A327" s="1" t="s">
        <v>981</v>
      </c>
      <c r="B327" s="4" t="s">
        <v>982</v>
      </c>
      <c r="C327" s="3" t="s">
        <v>983</v>
      </c>
      <c r="D327" s="5" t="s">
        <v>8</v>
      </c>
      <c r="E327" s="6">
        <f>VALUE(6450)</f>
        <v>6450</v>
      </c>
      <c r="F327" s="5" t="s">
        <v>10</v>
      </c>
    </row>
    <row r="328" spans="1:6" ht="29">
      <c r="A328" s="1" t="s">
        <v>984</v>
      </c>
      <c r="B328" s="4" t="s">
        <v>985</v>
      </c>
      <c r="C328" s="3" t="s">
        <v>986</v>
      </c>
      <c r="D328" s="5" t="s">
        <v>8</v>
      </c>
      <c r="E328" s="6">
        <f>VALUE(18749.25)</f>
        <v>18749.25</v>
      </c>
      <c r="F328" s="5" t="s">
        <v>10</v>
      </c>
    </row>
    <row r="329" spans="1:6" ht="29">
      <c r="A329" s="1" t="s">
        <v>987</v>
      </c>
      <c r="B329" s="4" t="s">
        <v>988</v>
      </c>
      <c r="C329" s="3" t="s">
        <v>989</v>
      </c>
      <c r="D329" s="5" t="s">
        <v>8</v>
      </c>
      <c r="E329" s="6">
        <f>VALUE(24999)</f>
        <v>24999</v>
      </c>
      <c r="F329" s="5" t="s">
        <v>10</v>
      </c>
    </row>
    <row r="330" spans="1:6" ht="29">
      <c r="A330" s="1" t="s">
        <v>990</v>
      </c>
      <c r="B330" s="4" t="s">
        <v>991</v>
      </c>
      <c r="C330" s="3" t="s">
        <v>992</v>
      </c>
      <c r="D330" s="5" t="s">
        <v>8</v>
      </c>
      <c r="E330" s="6">
        <f>VALUE(18749.25)</f>
        <v>18749.25</v>
      </c>
      <c r="F330" s="5" t="s">
        <v>10</v>
      </c>
    </row>
    <row r="331" spans="1:6" ht="29">
      <c r="A331" s="1" t="s">
        <v>993</v>
      </c>
      <c r="B331" s="4" t="s">
        <v>994</v>
      </c>
      <c r="C331" s="3" t="s">
        <v>995</v>
      </c>
      <c r="D331" s="5" t="s">
        <v>8</v>
      </c>
      <c r="E331" s="6">
        <f>VALUE(14249.25)</f>
        <v>14249.25</v>
      </c>
      <c r="F331" s="5" t="s">
        <v>10</v>
      </c>
    </row>
    <row r="332" spans="1:6" ht="29">
      <c r="A332" s="1" t="s">
        <v>996</v>
      </c>
      <c r="B332" s="4" t="s">
        <v>997</v>
      </c>
      <c r="C332" s="3" t="s">
        <v>998</v>
      </c>
      <c r="D332" s="5" t="s">
        <v>8</v>
      </c>
      <c r="E332" s="6">
        <f>VALUE(18999)</f>
        <v>18999</v>
      </c>
      <c r="F332" s="5" t="s">
        <v>10</v>
      </c>
    </row>
    <row r="333" spans="1:6" ht="29">
      <c r="A333" s="1" t="s">
        <v>999</v>
      </c>
      <c r="B333" s="4" t="s">
        <v>1000</v>
      </c>
      <c r="C333" s="3" t="s">
        <v>1001</v>
      </c>
      <c r="D333" s="5" t="s">
        <v>8</v>
      </c>
      <c r="E333" s="6">
        <f>VALUE(14249.25)</f>
        <v>14249.25</v>
      </c>
      <c r="F333" s="5" t="s">
        <v>10</v>
      </c>
    </row>
    <row r="334" spans="1:6" ht="29">
      <c r="A334" s="1" t="s">
        <v>1002</v>
      </c>
      <c r="B334" s="4" t="s">
        <v>1003</v>
      </c>
      <c r="C334" s="3" t="s">
        <v>1004</v>
      </c>
      <c r="D334" s="5" t="s">
        <v>8</v>
      </c>
      <c r="E334" s="6">
        <f>VALUE(8850)</f>
        <v>8850</v>
      </c>
      <c r="F334" s="5" t="s">
        <v>10</v>
      </c>
    </row>
    <row r="335" spans="1:6" ht="29">
      <c r="A335" s="1" t="s">
        <v>1005</v>
      </c>
      <c r="B335" s="4" t="s">
        <v>1006</v>
      </c>
      <c r="C335" s="3" t="s">
        <v>1007</v>
      </c>
      <c r="D335" s="5" t="s">
        <v>8</v>
      </c>
      <c r="E335" s="6">
        <f>VALUE(11800)</f>
        <v>11800</v>
      </c>
      <c r="F335" s="5" t="s">
        <v>10</v>
      </c>
    </row>
    <row r="336" spans="1:6" ht="29">
      <c r="A336" s="1" t="s">
        <v>1008</v>
      </c>
      <c r="B336" s="4" t="s">
        <v>1009</v>
      </c>
      <c r="C336" s="3" t="s">
        <v>1010</v>
      </c>
      <c r="D336" s="5" t="s">
        <v>8</v>
      </c>
      <c r="E336" s="6">
        <f>VALUE(8850)</f>
        <v>8850</v>
      </c>
      <c r="F336" s="5" t="s">
        <v>10</v>
      </c>
    </row>
    <row r="337" spans="1:6" ht="29">
      <c r="A337" s="1" t="s">
        <v>1011</v>
      </c>
      <c r="B337" s="4" t="s">
        <v>1012</v>
      </c>
      <c r="C337" s="3" t="s">
        <v>1013</v>
      </c>
      <c r="D337" s="5" t="s">
        <v>8</v>
      </c>
      <c r="E337" s="6">
        <f>VALUE(328.5)</f>
        <v>328.5</v>
      </c>
      <c r="F337" s="5" t="s">
        <v>10</v>
      </c>
    </row>
    <row r="338" spans="1:6" ht="29">
      <c r="A338" s="1" t="s">
        <v>1014</v>
      </c>
      <c r="B338" s="4" t="s">
        <v>1015</v>
      </c>
      <c r="C338" s="3" t="s">
        <v>1016</v>
      </c>
      <c r="D338" s="5" t="s">
        <v>8</v>
      </c>
      <c r="E338" s="6">
        <f>VALUE(438)</f>
        <v>438</v>
      </c>
      <c r="F338" s="5" t="s">
        <v>10</v>
      </c>
    </row>
    <row r="339" spans="1:6" ht="29">
      <c r="A339" s="1" t="s">
        <v>1017</v>
      </c>
      <c r="B339" s="4" t="s">
        <v>1018</v>
      </c>
      <c r="C339" s="3" t="s">
        <v>1019</v>
      </c>
      <c r="D339" s="5" t="s">
        <v>8</v>
      </c>
      <c r="E339" s="6">
        <f>VALUE(328.5)</f>
        <v>328.5</v>
      </c>
      <c r="F339" s="5" t="s">
        <v>10</v>
      </c>
    </row>
    <row r="340" spans="1:6" ht="29">
      <c r="A340" s="1" t="s">
        <v>1020</v>
      </c>
      <c r="B340" s="4" t="s">
        <v>1021</v>
      </c>
      <c r="C340" s="3" t="s">
        <v>1022</v>
      </c>
      <c r="D340" s="5" t="s">
        <v>8</v>
      </c>
      <c r="E340" s="6">
        <f>VALUE(478.5)</f>
        <v>478.5</v>
      </c>
      <c r="F340" s="5" t="s">
        <v>10</v>
      </c>
    </row>
    <row r="341" spans="1:6" ht="29">
      <c r="A341" s="1" t="s">
        <v>1023</v>
      </c>
      <c r="B341" s="4" t="s">
        <v>1024</v>
      </c>
      <c r="C341" s="3" t="s">
        <v>1025</v>
      </c>
      <c r="D341" s="5" t="s">
        <v>8</v>
      </c>
      <c r="E341" s="6">
        <f>VALUE(638)</f>
        <v>638</v>
      </c>
      <c r="F341" s="5" t="s">
        <v>10</v>
      </c>
    </row>
    <row r="342" spans="1:6" ht="29">
      <c r="A342" s="1" t="s">
        <v>1026</v>
      </c>
      <c r="B342" s="4" t="s">
        <v>1027</v>
      </c>
      <c r="C342" s="3" t="s">
        <v>1028</v>
      </c>
      <c r="D342" s="5" t="s">
        <v>8</v>
      </c>
      <c r="E342" s="6">
        <f>VALUE(478.5)</f>
        <v>478.5</v>
      </c>
      <c r="F342" s="5" t="s">
        <v>10</v>
      </c>
    </row>
    <row r="343" spans="1:6" ht="29">
      <c r="A343" s="1" t="s">
        <v>1029</v>
      </c>
      <c r="B343" s="4" t="s">
        <v>1030</v>
      </c>
      <c r="C343" s="3" t="s">
        <v>1031</v>
      </c>
      <c r="D343" s="5" t="s">
        <v>8</v>
      </c>
      <c r="E343" s="6">
        <f>VALUE(628.5)</f>
        <v>628.5</v>
      </c>
      <c r="F343" s="5" t="s">
        <v>10</v>
      </c>
    </row>
    <row r="344" spans="1:6" ht="29">
      <c r="A344" s="1" t="s">
        <v>1032</v>
      </c>
      <c r="B344" s="4" t="s">
        <v>1033</v>
      </c>
      <c r="C344" s="3" t="s">
        <v>1034</v>
      </c>
      <c r="D344" s="5" t="s">
        <v>8</v>
      </c>
      <c r="E344" s="6">
        <f>VALUE(838)</f>
        <v>838</v>
      </c>
      <c r="F344" s="5" t="s">
        <v>10</v>
      </c>
    </row>
    <row r="345" spans="1:6" ht="29">
      <c r="A345" s="1" t="s">
        <v>1035</v>
      </c>
      <c r="B345" s="4" t="s">
        <v>1036</v>
      </c>
      <c r="C345" s="3" t="s">
        <v>1037</v>
      </c>
      <c r="D345" s="5" t="s">
        <v>8</v>
      </c>
      <c r="E345" s="6">
        <f>VALUE(628.5)</f>
        <v>628.5</v>
      </c>
      <c r="F345" s="5" t="s">
        <v>10</v>
      </c>
    </row>
    <row r="346" spans="1:6" ht="29">
      <c r="A346" s="1" t="s">
        <v>1038</v>
      </c>
      <c r="B346" s="4" t="s">
        <v>1039</v>
      </c>
      <c r="C346" s="3" t="s">
        <v>1040</v>
      </c>
      <c r="D346" s="5" t="s">
        <v>8</v>
      </c>
      <c r="E346" s="6">
        <f>VALUE(928.5)</f>
        <v>928.5</v>
      </c>
      <c r="F346" s="5" t="s">
        <v>10</v>
      </c>
    </row>
    <row r="347" spans="1:6" ht="29">
      <c r="A347" s="1" t="s">
        <v>1041</v>
      </c>
      <c r="B347" s="4" t="s">
        <v>1042</v>
      </c>
      <c r="C347" s="3" t="s">
        <v>1043</v>
      </c>
      <c r="D347" s="5" t="s">
        <v>8</v>
      </c>
      <c r="E347" s="6">
        <f>VALUE(1238)</f>
        <v>1238</v>
      </c>
      <c r="F347" s="5" t="s">
        <v>10</v>
      </c>
    </row>
    <row r="348" spans="1:6" ht="29">
      <c r="A348" s="1" t="s">
        <v>1044</v>
      </c>
      <c r="B348" s="4" t="s">
        <v>1045</v>
      </c>
      <c r="C348" s="3" t="s">
        <v>1046</v>
      </c>
      <c r="D348" s="5" t="s">
        <v>8</v>
      </c>
      <c r="E348" s="6">
        <f>VALUE(339)</f>
        <v>339</v>
      </c>
      <c r="F348" s="5" t="s">
        <v>10</v>
      </c>
    </row>
    <row r="349" spans="1:6" ht="29">
      <c r="A349" s="1" t="s">
        <v>1047</v>
      </c>
      <c r="B349" s="4" t="s">
        <v>1048</v>
      </c>
      <c r="C349" s="3" t="s">
        <v>1049</v>
      </c>
      <c r="D349" s="5" t="s">
        <v>8</v>
      </c>
      <c r="E349" s="6">
        <f>VALUE(254.25)</f>
        <v>254.25</v>
      </c>
      <c r="F349" s="5" t="s">
        <v>10</v>
      </c>
    </row>
    <row r="350" spans="1:6" ht="43.5">
      <c r="A350" s="1" t="s">
        <v>1050</v>
      </c>
      <c r="B350" s="4" t="s">
        <v>1051</v>
      </c>
      <c r="C350" s="3" t="s">
        <v>1052</v>
      </c>
      <c r="D350" s="5" t="s">
        <v>8</v>
      </c>
      <c r="E350" s="6">
        <f>VALUE(1949.25)</f>
        <v>1949.25</v>
      </c>
      <c r="F350" s="5" t="s">
        <v>10</v>
      </c>
    </row>
    <row r="351" spans="1:6" ht="43.5">
      <c r="A351" s="1" t="s">
        <v>1053</v>
      </c>
      <c r="B351" s="4" t="s">
        <v>1054</v>
      </c>
      <c r="C351" s="3" t="s">
        <v>1055</v>
      </c>
      <c r="D351" s="5" t="s">
        <v>8</v>
      </c>
      <c r="E351" s="6">
        <f>VALUE(2599)</f>
        <v>2599</v>
      </c>
      <c r="F351" s="5" t="s">
        <v>10</v>
      </c>
    </row>
    <row r="352" spans="1:6" ht="29">
      <c r="A352" s="1" t="s">
        <v>1056</v>
      </c>
      <c r="B352" s="4" t="s">
        <v>1057</v>
      </c>
      <c r="C352" s="3" t="s">
        <v>1058</v>
      </c>
      <c r="D352" s="5" t="s">
        <v>8</v>
      </c>
      <c r="E352" s="6">
        <f>VALUE(1949.25)</f>
        <v>1949.25</v>
      </c>
      <c r="F352" s="5" t="s">
        <v>10</v>
      </c>
    </row>
    <row r="353" spans="1:6" ht="43.5">
      <c r="A353" s="1" t="s">
        <v>1059</v>
      </c>
      <c r="B353" s="4" t="s">
        <v>1060</v>
      </c>
      <c r="C353" s="3" t="s">
        <v>1061</v>
      </c>
      <c r="D353" s="5" t="s">
        <v>8</v>
      </c>
      <c r="E353" s="6">
        <f>VALUE(1964.25)</f>
        <v>1964.25</v>
      </c>
      <c r="F353" s="5" t="s">
        <v>10</v>
      </c>
    </row>
    <row r="354" spans="1:6" ht="43.5">
      <c r="A354" s="1" t="s">
        <v>1062</v>
      </c>
      <c r="B354" s="4" t="s">
        <v>1063</v>
      </c>
      <c r="C354" s="3" t="s">
        <v>1064</v>
      </c>
      <c r="D354" s="5" t="s">
        <v>8</v>
      </c>
      <c r="E354" s="6">
        <f>VALUE(2619)</f>
        <v>2619</v>
      </c>
      <c r="F354" s="5" t="s">
        <v>10</v>
      </c>
    </row>
    <row r="355" spans="1:6" ht="29">
      <c r="A355" s="1" t="s">
        <v>1065</v>
      </c>
      <c r="B355" s="4" t="s">
        <v>1066</v>
      </c>
      <c r="C355" s="3" t="s">
        <v>1067</v>
      </c>
      <c r="D355" s="5" t="s">
        <v>8</v>
      </c>
      <c r="E355" s="6">
        <f>VALUE(1964.25)</f>
        <v>1964.25</v>
      </c>
      <c r="F355" s="5" t="s">
        <v>10</v>
      </c>
    </row>
    <row r="356" spans="1:6" ht="29">
      <c r="A356" s="1" t="s">
        <v>1068</v>
      </c>
      <c r="B356" s="4" t="s">
        <v>1069</v>
      </c>
      <c r="C356" s="3" t="s">
        <v>1070</v>
      </c>
      <c r="D356" s="5" t="s">
        <v>8</v>
      </c>
      <c r="E356" s="6">
        <f>VALUE(2399.25)</f>
        <v>2399.25</v>
      </c>
      <c r="F356" s="5" t="s">
        <v>10</v>
      </c>
    </row>
    <row r="357" spans="1:6" ht="29">
      <c r="A357" s="1" t="s">
        <v>1071</v>
      </c>
      <c r="B357" s="4" t="s">
        <v>1072</v>
      </c>
      <c r="C357" s="3" t="s">
        <v>1073</v>
      </c>
      <c r="D357" s="5" t="s">
        <v>8</v>
      </c>
      <c r="E357" s="6">
        <f>VALUE(3199)</f>
        <v>3199</v>
      </c>
      <c r="F357" s="5" t="s">
        <v>10</v>
      </c>
    </row>
    <row r="358" spans="1:6" ht="29">
      <c r="A358" s="1" t="s">
        <v>1074</v>
      </c>
      <c r="B358" s="4" t="s">
        <v>1075</v>
      </c>
      <c r="C358" s="3" t="s">
        <v>1076</v>
      </c>
      <c r="D358" s="5" t="s">
        <v>8</v>
      </c>
      <c r="E358" s="6">
        <f>VALUE(2399.25)</f>
        <v>2399.25</v>
      </c>
      <c r="F358" s="5" t="s">
        <v>10</v>
      </c>
    </row>
    <row r="359" spans="1:6" ht="29">
      <c r="A359" s="1" t="s">
        <v>1077</v>
      </c>
      <c r="B359" s="4" t="s">
        <v>1078</v>
      </c>
      <c r="C359" s="3" t="s">
        <v>1079</v>
      </c>
      <c r="D359" s="5" t="s">
        <v>8</v>
      </c>
      <c r="E359" s="6">
        <f>VALUE(2399.25)</f>
        <v>2399.25</v>
      </c>
      <c r="F359" s="5" t="s">
        <v>10</v>
      </c>
    </row>
    <row r="360" spans="1:6" ht="29">
      <c r="A360" s="1" t="s">
        <v>1080</v>
      </c>
      <c r="B360" s="4" t="s">
        <v>1081</v>
      </c>
      <c r="C360" s="3" t="s">
        <v>1082</v>
      </c>
      <c r="D360" s="5" t="s">
        <v>8</v>
      </c>
      <c r="E360" s="6">
        <f>VALUE(3199)</f>
        <v>3199</v>
      </c>
      <c r="F360" s="5" t="s">
        <v>10</v>
      </c>
    </row>
    <row r="361" spans="1:6" ht="29">
      <c r="A361" s="1" t="s">
        <v>1083</v>
      </c>
      <c r="B361" s="4" t="s">
        <v>1084</v>
      </c>
      <c r="C361" s="3" t="s">
        <v>1085</v>
      </c>
      <c r="D361" s="5" t="s">
        <v>8</v>
      </c>
      <c r="E361" s="6">
        <f>VALUE(2399.25)</f>
        <v>2399.25</v>
      </c>
      <c r="F361" s="5" t="s">
        <v>10</v>
      </c>
    </row>
    <row r="362" spans="1:6" ht="29">
      <c r="A362" s="1" t="s">
        <v>1086</v>
      </c>
      <c r="B362" s="4" t="s">
        <v>1087</v>
      </c>
      <c r="C362" s="3" t="s">
        <v>1088</v>
      </c>
      <c r="D362" s="5" t="s">
        <v>8</v>
      </c>
      <c r="E362" s="6">
        <f>VALUE(2511.75)</f>
        <v>2511.75</v>
      </c>
      <c r="F362" s="5" t="s">
        <v>10</v>
      </c>
    </row>
    <row r="363" spans="1:6" ht="29">
      <c r="A363" s="1" t="s">
        <v>1089</v>
      </c>
      <c r="B363" s="4" t="s">
        <v>1090</v>
      </c>
      <c r="C363" s="3" t="s">
        <v>1091</v>
      </c>
      <c r="D363" s="5" t="s">
        <v>8</v>
      </c>
      <c r="E363" s="6">
        <f>VALUE(3349)</f>
        <v>3349</v>
      </c>
      <c r="F363" s="5" t="s">
        <v>10</v>
      </c>
    </row>
    <row r="364" spans="1:6" ht="29">
      <c r="A364" s="1" t="s">
        <v>1092</v>
      </c>
      <c r="B364" s="4" t="s">
        <v>1093</v>
      </c>
      <c r="C364" s="3" t="s">
        <v>1094</v>
      </c>
      <c r="D364" s="5" t="s">
        <v>8</v>
      </c>
      <c r="E364" s="6">
        <f>VALUE(2511.75)</f>
        <v>2511.75</v>
      </c>
      <c r="F364" s="5" t="s">
        <v>10</v>
      </c>
    </row>
    <row r="365" spans="1:6" ht="29">
      <c r="A365" s="1" t="s">
        <v>1095</v>
      </c>
      <c r="B365" s="4" t="s">
        <v>1096</v>
      </c>
      <c r="C365" s="3" t="s">
        <v>1097</v>
      </c>
      <c r="D365" s="5" t="s">
        <v>8</v>
      </c>
      <c r="E365" s="6">
        <f>VALUE(2511.75)</f>
        <v>2511.75</v>
      </c>
      <c r="F365" s="5" t="s">
        <v>10</v>
      </c>
    </row>
    <row r="366" spans="1:6" ht="29">
      <c r="A366" s="1" t="s">
        <v>1098</v>
      </c>
      <c r="B366" s="4" t="s">
        <v>1099</v>
      </c>
      <c r="C366" s="3" t="s">
        <v>1100</v>
      </c>
      <c r="D366" s="5" t="s">
        <v>8</v>
      </c>
      <c r="E366" s="6">
        <f>VALUE(3349)</f>
        <v>3349</v>
      </c>
      <c r="F366" s="5" t="s">
        <v>10</v>
      </c>
    </row>
    <row r="367" spans="1:6" ht="29">
      <c r="A367" s="1" t="s">
        <v>1101</v>
      </c>
      <c r="B367" s="4" t="s">
        <v>1102</v>
      </c>
      <c r="C367" s="3" t="s">
        <v>1103</v>
      </c>
      <c r="D367" s="5" t="s">
        <v>8</v>
      </c>
      <c r="E367" s="6">
        <f>VALUE(2511.75)</f>
        <v>2511.75</v>
      </c>
      <c r="F367" s="5" t="s">
        <v>10</v>
      </c>
    </row>
    <row r="368" spans="1:6" ht="29">
      <c r="A368" s="1" t="s">
        <v>1104</v>
      </c>
      <c r="B368" s="4" t="s">
        <v>1105</v>
      </c>
      <c r="C368" s="3" t="s">
        <v>1106</v>
      </c>
      <c r="D368" s="5" t="s">
        <v>8</v>
      </c>
      <c r="E368" s="6">
        <f>VALUE(5774.25)</f>
        <v>5774.25</v>
      </c>
      <c r="F368" s="5" t="s">
        <v>10</v>
      </c>
    </row>
    <row r="369" spans="1:6" ht="43.5">
      <c r="A369" s="1" t="s">
        <v>1107</v>
      </c>
      <c r="B369" s="4" t="s">
        <v>1108</v>
      </c>
      <c r="C369" s="3" t="s">
        <v>1109</v>
      </c>
      <c r="D369" s="5" t="s">
        <v>8</v>
      </c>
      <c r="E369" s="6">
        <f>VALUE(6599.25)</f>
        <v>6599.25</v>
      </c>
      <c r="F369" s="5" t="s">
        <v>10</v>
      </c>
    </row>
    <row r="370" spans="1:6" ht="29">
      <c r="A370" s="1" t="s">
        <v>1110</v>
      </c>
      <c r="B370" s="4" t="s">
        <v>1111</v>
      </c>
      <c r="C370" s="3" t="s">
        <v>1112</v>
      </c>
      <c r="D370" s="5" t="s">
        <v>8</v>
      </c>
      <c r="E370" s="6">
        <f>VALUE(8799)</f>
        <v>8799</v>
      </c>
      <c r="F370" s="5" t="s">
        <v>10</v>
      </c>
    </row>
    <row r="371" spans="1:6" ht="29">
      <c r="A371" s="1" t="s">
        <v>1113</v>
      </c>
      <c r="B371" s="4" t="s">
        <v>1114</v>
      </c>
      <c r="C371" s="3" t="s">
        <v>1115</v>
      </c>
      <c r="D371" s="5" t="s">
        <v>8</v>
      </c>
      <c r="E371" s="6">
        <f>VALUE(6599.25)</f>
        <v>6599.25</v>
      </c>
      <c r="F371" s="5" t="s">
        <v>10</v>
      </c>
    </row>
    <row r="372" spans="1:6" ht="29">
      <c r="A372" s="1" t="s">
        <v>1116</v>
      </c>
      <c r="B372" s="4" t="s">
        <v>1117</v>
      </c>
      <c r="C372" s="3" t="s">
        <v>1118</v>
      </c>
      <c r="D372" s="5" t="s">
        <v>8</v>
      </c>
      <c r="E372" s="6">
        <f>VALUE(7699)</f>
        <v>7699</v>
      </c>
      <c r="F372" s="5" t="s">
        <v>10</v>
      </c>
    </row>
    <row r="373" spans="1:6" ht="29">
      <c r="A373" s="1" t="s">
        <v>1119</v>
      </c>
      <c r="B373" s="4" t="s">
        <v>1120</v>
      </c>
      <c r="C373" s="3" t="s">
        <v>1121</v>
      </c>
      <c r="D373" s="5" t="s">
        <v>8</v>
      </c>
      <c r="E373" s="6">
        <f>VALUE(5774.25)</f>
        <v>5774.25</v>
      </c>
      <c r="F373" s="5" t="s">
        <v>10</v>
      </c>
    </row>
    <row r="374" spans="1:6" ht="29">
      <c r="A374" s="1" t="s">
        <v>1122</v>
      </c>
      <c r="B374" s="4" t="s">
        <v>1123</v>
      </c>
      <c r="C374" s="3" t="s">
        <v>1124</v>
      </c>
      <c r="D374" s="5" t="s">
        <v>8</v>
      </c>
      <c r="E374" s="6">
        <f>VALUE(5924.25)</f>
        <v>5924.25</v>
      </c>
      <c r="F374" s="5" t="s">
        <v>10</v>
      </c>
    </row>
    <row r="375" spans="1:6" ht="43.5">
      <c r="A375" s="1" t="s">
        <v>1125</v>
      </c>
      <c r="B375" s="4" t="s">
        <v>1126</v>
      </c>
      <c r="C375" s="3" t="s">
        <v>1127</v>
      </c>
      <c r="D375" s="5" t="s">
        <v>8</v>
      </c>
      <c r="E375" s="6">
        <f>VALUE(6749.25)</f>
        <v>6749.25</v>
      </c>
      <c r="F375" s="5" t="s">
        <v>10</v>
      </c>
    </row>
    <row r="376" spans="1:6" ht="29">
      <c r="A376" s="1" t="s">
        <v>1128</v>
      </c>
      <c r="B376" s="4" t="s">
        <v>1129</v>
      </c>
      <c r="C376" s="3" t="s">
        <v>1130</v>
      </c>
      <c r="D376" s="5" t="s">
        <v>8</v>
      </c>
      <c r="E376" s="6">
        <f>VALUE(8999)</f>
        <v>8999</v>
      </c>
      <c r="F376" s="5" t="s">
        <v>10</v>
      </c>
    </row>
    <row r="377" spans="1:6" ht="29">
      <c r="A377" s="1" t="s">
        <v>1131</v>
      </c>
      <c r="B377" s="4" t="s">
        <v>1132</v>
      </c>
      <c r="C377" s="3" t="s">
        <v>1133</v>
      </c>
      <c r="D377" s="5" t="s">
        <v>8</v>
      </c>
      <c r="E377" s="6">
        <f>VALUE(6749.25)</f>
        <v>6749.25</v>
      </c>
      <c r="F377" s="5" t="s">
        <v>10</v>
      </c>
    </row>
    <row r="378" spans="1:6" ht="29">
      <c r="A378" s="1" t="s">
        <v>1134</v>
      </c>
      <c r="B378" s="4" t="s">
        <v>1135</v>
      </c>
      <c r="C378" s="3" t="s">
        <v>1136</v>
      </c>
      <c r="D378" s="5" t="s">
        <v>8</v>
      </c>
      <c r="E378" s="6">
        <f>VALUE(928.5)</f>
        <v>928.5</v>
      </c>
      <c r="F378" s="5" t="s">
        <v>10</v>
      </c>
    </row>
    <row r="379" spans="1:6" ht="43.5">
      <c r="A379" s="1" t="s">
        <v>1137</v>
      </c>
      <c r="B379" s="4" t="s">
        <v>1138</v>
      </c>
      <c r="C379" s="3" t="s">
        <v>1139</v>
      </c>
      <c r="D379" s="5" t="s">
        <v>8</v>
      </c>
      <c r="E379" s="6">
        <f>VALUE(621)</f>
        <v>621</v>
      </c>
      <c r="F379" s="5" t="s">
        <v>10</v>
      </c>
    </row>
    <row r="380" spans="1:6" ht="29">
      <c r="A380" s="1" t="s">
        <v>1140</v>
      </c>
      <c r="B380" s="4" t="s">
        <v>1141</v>
      </c>
      <c r="C380" s="3" t="s">
        <v>1142</v>
      </c>
      <c r="D380" s="5" t="s">
        <v>8</v>
      </c>
      <c r="E380" s="6">
        <f>VALUE(828)</f>
        <v>828</v>
      </c>
      <c r="F380" s="5" t="s">
        <v>10</v>
      </c>
    </row>
    <row r="381" spans="1:6" ht="29">
      <c r="A381" s="1" t="s">
        <v>1143</v>
      </c>
      <c r="B381" s="4" t="s">
        <v>1144</v>
      </c>
      <c r="C381" s="3" t="s">
        <v>1145</v>
      </c>
      <c r="D381" s="5" t="s">
        <v>8</v>
      </c>
      <c r="E381" s="6">
        <f>VALUE(621)</f>
        <v>621</v>
      </c>
      <c r="F381" s="5" t="s">
        <v>10</v>
      </c>
    </row>
    <row r="382" spans="1:6" ht="43.5">
      <c r="A382" s="1" t="s">
        <v>1146</v>
      </c>
      <c r="B382" s="4" t="s">
        <v>1147</v>
      </c>
      <c r="C382" s="3" t="s">
        <v>1148</v>
      </c>
      <c r="D382" s="5" t="s">
        <v>8</v>
      </c>
      <c r="E382" s="6">
        <f>VALUE(868.5)</f>
        <v>868.5</v>
      </c>
      <c r="F382" s="5" t="s">
        <v>10</v>
      </c>
    </row>
    <row r="383" spans="1:6" ht="29">
      <c r="A383" s="1" t="s">
        <v>1149</v>
      </c>
      <c r="B383" s="4" t="s">
        <v>1150</v>
      </c>
      <c r="C383" s="3" t="s">
        <v>1151</v>
      </c>
      <c r="D383" s="5" t="s">
        <v>8</v>
      </c>
      <c r="E383" s="6">
        <f>VALUE(1158)</f>
        <v>1158</v>
      </c>
      <c r="F383" s="5" t="s">
        <v>10</v>
      </c>
    </row>
    <row r="384" spans="1:6" ht="29">
      <c r="A384" s="1" t="s">
        <v>1152</v>
      </c>
      <c r="B384" s="4" t="s">
        <v>1153</v>
      </c>
      <c r="C384" s="3" t="s">
        <v>1154</v>
      </c>
      <c r="D384" s="5" t="s">
        <v>8</v>
      </c>
      <c r="E384" s="6">
        <f>VALUE(868.5)</f>
        <v>868.5</v>
      </c>
      <c r="F384" s="5" t="s">
        <v>10</v>
      </c>
    </row>
    <row r="385" spans="1:6" ht="43.5">
      <c r="A385" s="1" t="s">
        <v>1155</v>
      </c>
      <c r="B385" s="4" t="s">
        <v>1156</v>
      </c>
      <c r="C385" s="3" t="s">
        <v>1157</v>
      </c>
      <c r="D385" s="5" t="s">
        <v>8</v>
      </c>
      <c r="E385" s="6">
        <f>VALUE(74.25)</f>
        <v>74.25</v>
      </c>
      <c r="F385" s="5" t="s">
        <v>10</v>
      </c>
    </row>
    <row r="386" spans="1:6" ht="29">
      <c r="A386" s="1" t="s">
        <v>1158</v>
      </c>
      <c r="B386" s="4" t="s">
        <v>1159</v>
      </c>
      <c r="C386" s="3" t="s">
        <v>1160</v>
      </c>
      <c r="D386" s="5" t="s">
        <v>8</v>
      </c>
      <c r="E386" s="6">
        <f>VALUE(99)</f>
        <v>99</v>
      </c>
      <c r="F386" s="5" t="s">
        <v>10</v>
      </c>
    </row>
    <row r="387" spans="1:6" ht="29">
      <c r="A387" s="1" t="s">
        <v>1161</v>
      </c>
      <c r="B387" s="4" t="s">
        <v>1162</v>
      </c>
      <c r="C387" s="3" t="s">
        <v>1163</v>
      </c>
      <c r="D387" s="5" t="s">
        <v>8</v>
      </c>
      <c r="E387" s="6">
        <f>VALUE(74.25)</f>
        <v>74.25</v>
      </c>
      <c r="F387" s="5" t="s">
        <v>10</v>
      </c>
    </row>
    <row r="388" spans="1:6" ht="43.5">
      <c r="A388" s="1" t="s">
        <v>1164</v>
      </c>
      <c r="B388" s="4" t="s">
        <v>1165</v>
      </c>
      <c r="C388" s="3" t="s">
        <v>1166</v>
      </c>
      <c r="D388" s="5" t="s">
        <v>8</v>
      </c>
      <c r="E388" s="6">
        <f>VALUE(89.25)</f>
        <v>89.25</v>
      </c>
      <c r="F388" s="5" t="s">
        <v>10</v>
      </c>
    </row>
    <row r="389" spans="1:6" ht="29">
      <c r="A389" s="1" t="s">
        <v>1167</v>
      </c>
      <c r="B389" s="4" t="s">
        <v>1168</v>
      </c>
      <c r="C389" s="3" t="s">
        <v>1169</v>
      </c>
      <c r="D389" s="5" t="s">
        <v>8</v>
      </c>
      <c r="E389" s="6">
        <f>VALUE(119)</f>
        <v>119</v>
      </c>
      <c r="F389" s="5" t="s">
        <v>10</v>
      </c>
    </row>
    <row r="390" spans="1:6" ht="29">
      <c r="A390" s="1" t="s">
        <v>1170</v>
      </c>
      <c r="B390" s="4" t="s">
        <v>1171</v>
      </c>
      <c r="C390" s="3" t="s">
        <v>1172</v>
      </c>
      <c r="D390" s="5" t="s">
        <v>8</v>
      </c>
      <c r="E390" s="6">
        <f>VALUE(89.25)</f>
        <v>89.25</v>
      </c>
      <c r="F390" s="5" t="s">
        <v>10</v>
      </c>
    </row>
    <row r="391" spans="1:6" ht="43.5">
      <c r="A391" s="1" t="s">
        <v>1173</v>
      </c>
      <c r="B391" s="4" t="s">
        <v>1174</v>
      </c>
      <c r="C391" s="3" t="s">
        <v>1175</v>
      </c>
      <c r="D391" s="5" t="s">
        <v>8</v>
      </c>
      <c r="E391" s="6">
        <f>VALUE(74.25)</f>
        <v>74.25</v>
      </c>
      <c r="F391" s="5" t="s">
        <v>10</v>
      </c>
    </row>
    <row r="392" spans="1:6" ht="29">
      <c r="A392" s="1" t="s">
        <v>1176</v>
      </c>
      <c r="B392" s="4" t="s">
        <v>1177</v>
      </c>
      <c r="C392" s="3" t="s">
        <v>1178</v>
      </c>
      <c r="D392" s="5" t="s">
        <v>8</v>
      </c>
      <c r="E392" s="6">
        <f>VALUE(99)</f>
        <v>99</v>
      </c>
      <c r="F392" s="5" t="s">
        <v>10</v>
      </c>
    </row>
    <row r="393" spans="1:6" ht="29">
      <c r="A393" s="1" t="s">
        <v>1179</v>
      </c>
      <c r="B393" s="4" t="s">
        <v>1180</v>
      </c>
      <c r="C393" s="3" t="s">
        <v>1181</v>
      </c>
      <c r="D393" s="5" t="s">
        <v>8</v>
      </c>
      <c r="E393" s="6">
        <f>VALUE(74.25)</f>
        <v>74.25</v>
      </c>
      <c r="F393" s="5" t="s">
        <v>10</v>
      </c>
    </row>
    <row r="394" spans="1:6" ht="29">
      <c r="A394" s="1" t="s">
        <v>1182</v>
      </c>
      <c r="B394" s="4" t="s">
        <v>1183</v>
      </c>
      <c r="C394" s="3" t="s">
        <v>1184</v>
      </c>
      <c r="D394" s="5" t="s">
        <v>8</v>
      </c>
      <c r="E394" s="6">
        <f>VALUE(89.25)</f>
        <v>89.25</v>
      </c>
      <c r="F394" s="5" t="s">
        <v>10</v>
      </c>
    </row>
    <row r="395" spans="1:6" ht="29">
      <c r="A395" s="1" t="s">
        <v>1185</v>
      </c>
      <c r="B395" s="4" t="s">
        <v>1186</v>
      </c>
      <c r="C395" s="3" t="s">
        <v>1187</v>
      </c>
      <c r="D395" s="5" t="s">
        <v>8</v>
      </c>
      <c r="E395" s="6">
        <f>VALUE(119)</f>
        <v>119</v>
      </c>
      <c r="F395" s="5" t="s">
        <v>10</v>
      </c>
    </row>
    <row r="396" spans="1:6" ht="29">
      <c r="A396" s="1" t="s">
        <v>1188</v>
      </c>
      <c r="B396" s="4" t="s">
        <v>1189</v>
      </c>
      <c r="C396" s="3" t="s">
        <v>1190</v>
      </c>
      <c r="D396" s="5" t="s">
        <v>8</v>
      </c>
      <c r="E396" s="6">
        <f>VALUE(89.25)</f>
        <v>89.25</v>
      </c>
      <c r="F396" s="5" t="s">
        <v>10</v>
      </c>
    </row>
    <row r="397" spans="1:6" ht="43.5">
      <c r="A397" s="1" t="s">
        <v>1191</v>
      </c>
      <c r="B397" s="4" t="s">
        <v>1192</v>
      </c>
      <c r="C397" s="3" t="s">
        <v>1193</v>
      </c>
      <c r="D397" s="5" t="s">
        <v>8</v>
      </c>
      <c r="E397" s="6">
        <f>VALUE(164.25)</f>
        <v>164.25</v>
      </c>
      <c r="F397" s="5" t="s">
        <v>10</v>
      </c>
    </row>
    <row r="398" spans="1:6" ht="43.5">
      <c r="A398" s="1" t="s">
        <v>1194</v>
      </c>
      <c r="B398" s="4" t="s">
        <v>1195</v>
      </c>
      <c r="C398" s="3" t="s">
        <v>1196</v>
      </c>
      <c r="D398" s="5" t="s">
        <v>8</v>
      </c>
      <c r="E398" s="6">
        <f>VALUE(219)</f>
        <v>219</v>
      </c>
      <c r="F398" s="5" t="s">
        <v>10</v>
      </c>
    </row>
    <row r="399" spans="1:6" ht="29">
      <c r="A399" s="1" t="s">
        <v>1197</v>
      </c>
      <c r="B399" s="4" t="s">
        <v>1198</v>
      </c>
      <c r="C399" s="3" t="s">
        <v>1199</v>
      </c>
      <c r="D399" s="5" t="s">
        <v>8</v>
      </c>
      <c r="E399" s="6">
        <f>VALUE(164.25)</f>
        <v>164.25</v>
      </c>
      <c r="F399" s="5" t="s">
        <v>10</v>
      </c>
    </row>
    <row r="400" spans="1:6" ht="43.5">
      <c r="A400" s="1" t="s">
        <v>1200</v>
      </c>
      <c r="B400" s="4" t="s">
        <v>1201</v>
      </c>
      <c r="C400" s="3" t="s">
        <v>1202</v>
      </c>
      <c r="D400" s="5" t="s">
        <v>8</v>
      </c>
      <c r="E400" s="6">
        <f>VALUE(209.25)</f>
        <v>209.25</v>
      </c>
      <c r="F400" s="5" t="s">
        <v>10</v>
      </c>
    </row>
    <row r="401" spans="1:6" ht="43.5">
      <c r="A401" s="1" t="s">
        <v>1203</v>
      </c>
      <c r="B401" s="4" t="s">
        <v>1204</v>
      </c>
      <c r="C401" s="3" t="s">
        <v>1205</v>
      </c>
      <c r="D401" s="5" t="s">
        <v>8</v>
      </c>
      <c r="E401" s="6">
        <f>VALUE(279)</f>
        <v>279</v>
      </c>
      <c r="F401" s="5" t="s">
        <v>10</v>
      </c>
    </row>
    <row r="402" spans="1:6" ht="29">
      <c r="A402" s="1" t="s">
        <v>1206</v>
      </c>
      <c r="B402" s="4" t="s">
        <v>1207</v>
      </c>
      <c r="C402" s="3" t="s">
        <v>1208</v>
      </c>
      <c r="D402" s="5" t="s">
        <v>8</v>
      </c>
      <c r="E402" s="6">
        <f>VALUE(209.25)</f>
        <v>209.25</v>
      </c>
      <c r="F402" s="5" t="s">
        <v>10</v>
      </c>
    </row>
    <row r="403" spans="1:6" ht="29">
      <c r="A403" s="1" t="s">
        <v>1209</v>
      </c>
      <c r="B403" s="4" t="s">
        <v>1210</v>
      </c>
      <c r="C403" s="3" t="s">
        <v>1211</v>
      </c>
      <c r="D403" s="5" t="s">
        <v>8</v>
      </c>
      <c r="E403" s="6">
        <f>VALUE(330)</f>
        <v>330</v>
      </c>
      <c r="F403" s="5" t="s">
        <v>10</v>
      </c>
    </row>
    <row r="404" spans="1:6" ht="29">
      <c r="A404" s="1" t="s">
        <v>1212</v>
      </c>
      <c r="B404" s="4" t="s">
        <v>1213</v>
      </c>
      <c r="C404" s="3" t="s">
        <v>1214</v>
      </c>
      <c r="D404" s="5" t="s">
        <v>8</v>
      </c>
      <c r="E404" s="6">
        <f>VALUE(440)</f>
        <v>440</v>
      </c>
      <c r="F404" s="5" t="s">
        <v>10</v>
      </c>
    </row>
    <row r="405" spans="1:6" ht="29">
      <c r="A405" s="1" t="s">
        <v>1215</v>
      </c>
      <c r="B405" s="4" t="s">
        <v>1216</v>
      </c>
      <c r="C405" s="3" t="s">
        <v>1217</v>
      </c>
      <c r="D405" s="5" t="s">
        <v>8</v>
      </c>
      <c r="E405" s="6">
        <f>VALUE(330)</f>
        <v>330</v>
      </c>
      <c r="F405" s="5" t="s">
        <v>10</v>
      </c>
    </row>
    <row r="406" spans="1:6" ht="29">
      <c r="A406" s="1" t="s">
        <v>1218</v>
      </c>
      <c r="B406" s="4" t="s">
        <v>1219</v>
      </c>
      <c r="C406" s="3" t="s">
        <v>1220</v>
      </c>
      <c r="D406" s="5" t="s">
        <v>8</v>
      </c>
      <c r="E406" s="6">
        <f>VALUE(480)</f>
        <v>480</v>
      </c>
      <c r="F406" s="5" t="s">
        <v>10</v>
      </c>
    </row>
    <row r="407" spans="1:6" ht="29">
      <c r="A407" s="1" t="s">
        <v>1221</v>
      </c>
      <c r="B407" s="4" t="s">
        <v>1222</v>
      </c>
      <c r="C407" s="3" t="s">
        <v>1223</v>
      </c>
      <c r="D407" s="5" t="s">
        <v>8</v>
      </c>
      <c r="E407" s="6">
        <f>VALUE(640)</f>
        <v>640</v>
      </c>
      <c r="F407" s="5" t="s">
        <v>10</v>
      </c>
    </row>
    <row r="408" spans="1:6" ht="29">
      <c r="A408" s="1" t="s">
        <v>1224</v>
      </c>
      <c r="B408" s="4" t="s">
        <v>1225</v>
      </c>
      <c r="C408" s="3" t="s">
        <v>1226</v>
      </c>
      <c r="D408" s="5" t="s">
        <v>8</v>
      </c>
      <c r="E408" s="6">
        <f>VALUE(480)</f>
        <v>480</v>
      </c>
      <c r="F408" s="5" t="s">
        <v>10</v>
      </c>
    </row>
    <row r="409" spans="1:6" ht="29">
      <c r="A409" s="1" t="s">
        <v>1227</v>
      </c>
      <c r="B409" s="4" t="s">
        <v>1228</v>
      </c>
      <c r="C409" s="3" t="s">
        <v>1229</v>
      </c>
      <c r="D409" s="5" t="s">
        <v>8</v>
      </c>
      <c r="E409" s="6">
        <f>VALUE(89.25)</f>
        <v>89.25</v>
      </c>
      <c r="F409" s="5" t="s">
        <v>10</v>
      </c>
    </row>
    <row r="410" spans="1:6" ht="29">
      <c r="A410" s="1" t="s">
        <v>1230</v>
      </c>
      <c r="B410" s="4" t="s">
        <v>1231</v>
      </c>
      <c r="C410" s="3" t="s">
        <v>1232</v>
      </c>
      <c r="D410" s="5" t="s">
        <v>8</v>
      </c>
      <c r="E410" s="6">
        <f>VALUE(119)</f>
        <v>119</v>
      </c>
      <c r="F410" s="5" t="s">
        <v>10</v>
      </c>
    </row>
    <row r="411" spans="1:6" ht="29">
      <c r="A411" s="1" t="s">
        <v>1233</v>
      </c>
      <c r="B411" s="4" t="s">
        <v>1234</v>
      </c>
      <c r="C411" s="3" t="s">
        <v>1235</v>
      </c>
      <c r="D411" s="5" t="s">
        <v>8</v>
      </c>
      <c r="E411" s="6">
        <f>VALUE(89.25)</f>
        <v>89.25</v>
      </c>
      <c r="F411" s="5" t="s">
        <v>10</v>
      </c>
    </row>
    <row r="412" spans="1:6" ht="29">
      <c r="A412" s="1" t="s">
        <v>1236</v>
      </c>
      <c r="B412" s="4" t="s">
        <v>1237</v>
      </c>
      <c r="C412" s="3" t="s">
        <v>1238</v>
      </c>
      <c r="D412" s="5" t="s">
        <v>8</v>
      </c>
      <c r="E412" s="6">
        <f>VALUE(119.25)</f>
        <v>119.25</v>
      </c>
      <c r="F412" s="5" t="s">
        <v>10</v>
      </c>
    </row>
    <row r="413" spans="1:6" ht="29">
      <c r="A413" s="1" t="s">
        <v>1239</v>
      </c>
      <c r="B413" s="4" t="s">
        <v>1240</v>
      </c>
      <c r="C413" s="3" t="s">
        <v>1241</v>
      </c>
      <c r="D413" s="5" t="s">
        <v>8</v>
      </c>
      <c r="E413" s="6">
        <f>VALUE(159)</f>
        <v>159</v>
      </c>
      <c r="F413" s="5" t="s">
        <v>10</v>
      </c>
    </row>
    <row r="414" spans="1:6" ht="29">
      <c r="A414" s="1" t="s">
        <v>1242</v>
      </c>
      <c r="B414" s="4" t="s">
        <v>1243</v>
      </c>
      <c r="C414" s="3" t="s">
        <v>1244</v>
      </c>
      <c r="D414" s="5" t="s">
        <v>8</v>
      </c>
      <c r="E414" s="6">
        <f>VALUE(119.25)</f>
        <v>119.25</v>
      </c>
      <c r="F414" s="5" t="s">
        <v>10</v>
      </c>
    </row>
    <row r="415" spans="1:6" ht="29">
      <c r="A415" s="1" t="s">
        <v>1245</v>
      </c>
      <c r="B415" s="4" t="s">
        <v>1246</v>
      </c>
      <c r="C415" s="3" t="s">
        <v>1247</v>
      </c>
      <c r="D415" s="5" t="s">
        <v>8</v>
      </c>
      <c r="E415" s="6">
        <f>VALUE(524.25)</f>
        <v>524.25</v>
      </c>
      <c r="F415" s="5" t="s">
        <v>10</v>
      </c>
    </row>
    <row r="416" spans="1:6" ht="29">
      <c r="A416" s="1" t="s">
        <v>1248</v>
      </c>
      <c r="B416" s="4" t="s">
        <v>1249</v>
      </c>
      <c r="C416" s="3" t="s">
        <v>1250</v>
      </c>
      <c r="D416" s="5" t="s">
        <v>8</v>
      </c>
      <c r="E416" s="6">
        <f>VALUE(699)</f>
        <v>699</v>
      </c>
      <c r="F416" s="5" t="s">
        <v>10</v>
      </c>
    </row>
    <row r="417" spans="1:6" ht="29">
      <c r="A417" s="1" t="s">
        <v>1251</v>
      </c>
      <c r="B417" s="4" t="s">
        <v>1252</v>
      </c>
      <c r="C417" s="3" t="s">
        <v>1253</v>
      </c>
      <c r="D417" s="5" t="s">
        <v>8</v>
      </c>
      <c r="E417" s="6">
        <f>VALUE(524.25)</f>
        <v>524.25</v>
      </c>
      <c r="F417" s="5" t="s">
        <v>10</v>
      </c>
    </row>
    <row r="418" spans="1:6" ht="29">
      <c r="A418" s="1" t="s">
        <v>1254</v>
      </c>
      <c r="B418" s="4" t="s">
        <v>1255</v>
      </c>
      <c r="C418" s="3" t="s">
        <v>1256</v>
      </c>
      <c r="D418" s="5" t="s">
        <v>8</v>
      </c>
      <c r="E418" s="6">
        <f>VALUE(449.25)</f>
        <v>449.25</v>
      </c>
      <c r="F418" s="5" t="s">
        <v>10</v>
      </c>
    </row>
    <row r="419" spans="1:6" ht="29">
      <c r="A419" s="1" t="s">
        <v>1257</v>
      </c>
      <c r="B419" s="4" t="s">
        <v>1258</v>
      </c>
      <c r="C419" s="3" t="s">
        <v>1259</v>
      </c>
      <c r="D419" s="5" t="s">
        <v>8</v>
      </c>
      <c r="E419" s="6">
        <f>VALUE(599)</f>
        <v>599</v>
      </c>
      <c r="F419" s="5" t="s">
        <v>10</v>
      </c>
    </row>
    <row r="420" spans="1:6" ht="29">
      <c r="A420" s="1" t="s">
        <v>1260</v>
      </c>
      <c r="B420" s="4" t="s">
        <v>1261</v>
      </c>
      <c r="C420" s="3" t="s">
        <v>1262</v>
      </c>
      <c r="D420" s="5" t="s">
        <v>8</v>
      </c>
      <c r="E420" s="6">
        <f>VALUE(449.25)</f>
        <v>449.25</v>
      </c>
      <c r="F420" s="5" t="s">
        <v>10</v>
      </c>
    </row>
    <row r="421" spans="1:6" ht="29">
      <c r="A421" s="1" t="s">
        <v>1263</v>
      </c>
      <c r="B421" s="4" t="s">
        <v>1264</v>
      </c>
      <c r="C421" s="3" t="s">
        <v>1265</v>
      </c>
      <c r="D421" s="5" t="s">
        <v>8</v>
      </c>
      <c r="E421" s="6">
        <f>VALUE(2474.25)</f>
        <v>2474.25</v>
      </c>
      <c r="F421" s="5" t="s">
        <v>10</v>
      </c>
    </row>
    <row r="422" spans="1:6" ht="29">
      <c r="A422" s="1" t="s">
        <v>1266</v>
      </c>
      <c r="B422" s="4" t="s">
        <v>1267</v>
      </c>
      <c r="C422" s="3" t="s">
        <v>1268</v>
      </c>
      <c r="D422" s="5" t="s">
        <v>8</v>
      </c>
      <c r="E422" s="6">
        <f>VALUE(3299)</f>
        <v>3299</v>
      </c>
      <c r="F422" s="5" t="s">
        <v>10</v>
      </c>
    </row>
    <row r="423" spans="1:6" ht="29">
      <c r="A423" s="1" t="s">
        <v>1269</v>
      </c>
      <c r="B423" s="4" t="s">
        <v>1270</v>
      </c>
      <c r="C423" s="3" t="s">
        <v>1271</v>
      </c>
      <c r="D423" s="5" t="s">
        <v>8</v>
      </c>
      <c r="E423" s="6">
        <f>VALUE(2474.25)</f>
        <v>2474.25</v>
      </c>
      <c r="F423" s="5" t="s">
        <v>10</v>
      </c>
    </row>
    <row r="424" spans="1:6" ht="43.5">
      <c r="A424" s="1" t="s">
        <v>1272</v>
      </c>
      <c r="B424" s="4" t="s">
        <v>1273</v>
      </c>
      <c r="C424" s="3" t="s">
        <v>1274</v>
      </c>
      <c r="D424" s="5" t="s">
        <v>8</v>
      </c>
      <c r="E424" s="6">
        <f>VALUE(10.2)</f>
        <v>10.199999999999999</v>
      </c>
      <c r="F424" s="5" t="s">
        <v>10</v>
      </c>
    </row>
    <row r="425" spans="1:6" ht="43.5">
      <c r="A425" s="1" t="s">
        <v>1275</v>
      </c>
      <c r="B425" s="4" t="s">
        <v>1276</v>
      </c>
      <c r="C425" s="3" t="s">
        <v>1277</v>
      </c>
      <c r="D425" s="5" t="s">
        <v>8</v>
      </c>
      <c r="E425" s="6">
        <f>VALUE(13.6)</f>
        <v>13.6</v>
      </c>
      <c r="F425" s="5" t="s">
        <v>10</v>
      </c>
    </row>
    <row r="426" spans="1:6" ht="29">
      <c r="A426" s="1" t="s">
        <v>1278</v>
      </c>
      <c r="B426" s="4" t="s">
        <v>1279</v>
      </c>
      <c r="C426" s="3" t="s">
        <v>1280</v>
      </c>
      <c r="D426" s="5" t="s">
        <v>8</v>
      </c>
      <c r="E426" s="6">
        <f>VALUE(10.2)</f>
        <v>10.199999999999999</v>
      </c>
      <c r="F426" s="5" t="s">
        <v>10</v>
      </c>
    </row>
    <row r="427" spans="1:6" ht="29">
      <c r="A427" s="1" t="s">
        <v>1281</v>
      </c>
      <c r="B427" s="4" t="s">
        <v>1282</v>
      </c>
      <c r="C427" s="3" t="s">
        <v>1283</v>
      </c>
      <c r="D427" s="5" t="s">
        <v>8</v>
      </c>
      <c r="E427" s="6">
        <f>VALUE(12.75)</f>
        <v>12.75</v>
      </c>
      <c r="F427" s="5" t="s">
        <v>10</v>
      </c>
    </row>
    <row r="428" spans="1:6" ht="29">
      <c r="A428" s="1" t="s">
        <v>1284</v>
      </c>
      <c r="B428" s="4" t="s">
        <v>1285</v>
      </c>
      <c r="C428" s="3" t="s">
        <v>1286</v>
      </c>
      <c r="D428" s="5" t="s">
        <v>8</v>
      </c>
      <c r="E428" s="6">
        <f>VALUE(17)</f>
        <v>17</v>
      </c>
      <c r="F428" s="5" t="s">
        <v>10</v>
      </c>
    </row>
    <row r="429" spans="1:6" ht="29">
      <c r="A429" s="1" t="s">
        <v>1287</v>
      </c>
      <c r="B429" s="4" t="s">
        <v>1288</v>
      </c>
      <c r="C429" s="3" t="s">
        <v>1289</v>
      </c>
      <c r="D429" s="5" t="s">
        <v>8</v>
      </c>
      <c r="E429" s="6">
        <f>VALUE(12.75)</f>
        <v>12.75</v>
      </c>
      <c r="F429" s="5" t="s">
        <v>10</v>
      </c>
    </row>
    <row r="430" spans="1:6" ht="29">
      <c r="A430" s="1" t="s">
        <v>1290</v>
      </c>
      <c r="B430" s="4" t="s">
        <v>1291</v>
      </c>
      <c r="C430" s="3" t="s">
        <v>1292</v>
      </c>
      <c r="D430" s="5" t="s">
        <v>8</v>
      </c>
      <c r="E430" s="6">
        <f>VALUE(84)</f>
        <v>84</v>
      </c>
      <c r="F430" s="5" t="s">
        <v>10</v>
      </c>
    </row>
    <row r="431" spans="1:6" ht="29">
      <c r="A431" s="1" t="s">
        <v>1293</v>
      </c>
      <c r="B431" s="4" t="s">
        <v>1294</v>
      </c>
      <c r="C431" s="3" t="s">
        <v>1295</v>
      </c>
      <c r="D431" s="5" t="s">
        <v>8</v>
      </c>
      <c r="E431" s="6">
        <f>VALUE(112)</f>
        <v>112</v>
      </c>
      <c r="F431" s="5" t="s">
        <v>10</v>
      </c>
    </row>
    <row r="432" spans="1:6" ht="29">
      <c r="A432" s="1" t="s">
        <v>1296</v>
      </c>
      <c r="B432" s="4" t="s">
        <v>1297</v>
      </c>
      <c r="C432" s="3" t="s">
        <v>1298</v>
      </c>
      <c r="D432" s="5" t="s">
        <v>8</v>
      </c>
      <c r="E432" s="6">
        <f>VALUE(84)</f>
        <v>84</v>
      </c>
      <c r="F432" s="5" t="s">
        <v>10</v>
      </c>
    </row>
    <row r="433" spans="1:6" ht="29">
      <c r="A433" s="1" t="s">
        <v>1299</v>
      </c>
      <c r="B433" s="4" t="s">
        <v>1300</v>
      </c>
      <c r="C433" s="3" t="s">
        <v>1301</v>
      </c>
      <c r="D433" s="5" t="s">
        <v>8</v>
      </c>
      <c r="E433" s="6">
        <f>VALUE(36)</f>
        <v>36</v>
      </c>
      <c r="F433" s="5" t="s">
        <v>10</v>
      </c>
    </row>
    <row r="434" spans="1:6" ht="29">
      <c r="A434" s="1" t="s">
        <v>1302</v>
      </c>
      <c r="B434" s="4" t="s">
        <v>1303</v>
      </c>
      <c r="C434" s="3" t="s">
        <v>1304</v>
      </c>
      <c r="D434" s="5" t="s">
        <v>8</v>
      </c>
      <c r="E434" s="6">
        <f>VALUE(48)</f>
        <v>48</v>
      </c>
      <c r="F434" s="5" t="s">
        <v>10</v>
      </c>
    </row>
    <row r="435" spans="1:6" ht="29">
      <c r="A435" s="1" t="s">
        <v>1305</v>
      </c>
      <c r="B435" s="4" t="s">
        <v>1306</v>
      </c>
      <c r="C435" s="3" t="s">
        <v>1307</v>
      </c>
      <c r="D435" s="5" t="s">
        <v>8</v>
      </c>
      <c r="E435" s="6">
        <f>VALUE(36)</f>
        <v>36</v>
      </c>
      <c r="F435" s="5" t="s">
        <v>10</v>
      </c>
    </row>
    <row r="436" spans="1:6" ht="43.5">
      <c r="A436" s="1" t="s">
        <v>1308</v>
      </c>
      <c r="B436" s="4" t="s">
        <v>1309</v>
      </c>
      <c r="C436" s="3" t="s">
        <v>1310</v>
      </c>
      <c r="D436" s="5" t="s">
        <v>8</v>
      </c>
      <c r="E436" s="6">
        <f>VALUE(60000)</f>
        <v>60000</v>
      </c>
      <c r="F436" s="5" t="s">
        <v>10</v>
      </c>
    </row>
    <row r="437" spans="1:6" ht="43.5">
      <c r="A437" s="1" t="s">
        <v>1311</v>
      </c>
      <c r="B437" s="4" t="s">
        <v>1312</v>
      </c>
      <c r="C437" s="3" t="s">
        <v>1313</v>
      </c>
      <c r="D437" s="5" t="s">
        <v>8</v>
      </c>
      <c r="E437" s="6">
        <f>VALUE(80000)</f>
        <v>80000</v>
      </c>
      <c r="F437" s="5" t="s">
        <v>10</v>
      </c>
    </row>
    <row r="438" spans="1:6" ht="43.5">
      <c r="A438" s="1" t="s">
        <v>1314</v>
      </c>
      <c r="B438" s="4" t="s">
        <v>1315</v>
      </c>
      <c r="C438" s="3" t="s">
        <v>1316</v>
      </c>
      <c r="D438" s="5" t="s">
        <v>8</v>
      </c>
      <c r="E438" s="6">
        <f>VALUE(60000)</f>
        <v>60000</v>
      </c>
      <c r="F438" s="5" t="s">
        <v>10</v>
      </c>
    </row>
    <row r="439" spans="1:6" ht="29">
      <c r="A439" s="1" t="s">
        <v>1317</v>
      </c>
      <c r="B439" s="4" t="s">
        <v>1318</v>
      </c>
      <c r="C439" s="3" t="s">
        <v>1319</v>
      </c>
      <c r="D439" s="5" t="s">
        <v>8</v>
      </c>
      <c r="E439" s="6">
        <f>VALUE(29.25)</f>
        <v>29.25</v>
      </c>
      <c r="F439" s="5" t="s">
        <v>10</v>
      </c>
    </row>
    <row r="440" spans="1:6" ht="29">
      <c r="A440" s="1" t="s">
        <v>1320</v>
      </c>
      <c r="B440" s="4" t="s">
        <v>1321</v>
      </c>
      <c r="C440" s="3" t="s">
        <v>1322</v>
      </c>
      <c r="D440" s="5" t="s">
        <v>8</v>
      </c>
      <c r="E440" s="6">
        <f>VALUE(39)</f>
        <v>39</v>
      </c>
      <c r="F440" s="5" t="s">
        <v>10</v>
      </c>
    </row>
    <row r="441" spans="1:6" ht="29">
      <c r="A441" s="1" t="s">
        <v>1323</v>
      </c>
      <c r="B441" s="4" t="s">
        <v>1324</v>
      </c>
      <c r="C441" s="3" t="s">
        <v>1325</v>
      </c>
      <c r="D441" s="5" t="s">
        <v>8</v>
      </c>
      <c r="E441" s="6">
        <f>VALUE(29.25)</f>
        <v>29.25</v>
      </c>
      <c r="F441" s="5" t="s">
        <v>10</v>
      </c>
    </row>
    <row r="442" spans="1:6" ht="29">
      <c r="A442" s="1" t="s">
        <v>1326</v>
      </c>
      <c r="B442" s="4" t="s">
        <v>1327</v>
      </c>
      <c r="C442" s="3" t="s">
        <v>1328</v>
      </c>
      <c r="D442" s="5" t="s">
        <v>8</v>
      </c>
      <c r="E442" s="6">
        <f>VALUE(29.25)</f>
        <v>29.25</v>
      </c>
      <c r="F442" s="5" t="s">
        <v>10</v>
      </c>
    </row>
    <row r="443" spans="1:6" ht="29">
      <c r="A443" s="1" t="s">
        <v>1329</v>
      </c>
      <c r="B443" s="4" t="s">
        <v>1330</v>
      </c>
      <c r="C443" s="3" t="s">
        <v>1331</v>
      </c>
      <c r="D443" s="5" t="s">
        <v>8</v>
      </c>
      <c r="E443" s="6">
        <f>VALUE(39)</f>
        <v>39</v>
      </c>
      <c r="F443" s="5" t="s">
        <v>10</v>
      </c>
    </row>
    <row r="444" spans="1:6" ht="29">
      <c r="A444" s="1" t="s">
        <v>1332</v>
      </c>
      <c r="B444" s="4" t="s">
        <v>1333</v>
      </c>
      <c r="C444" s="3" t="s">
        <v>1334</v>
      </c>
      <c r="D444" s="5" t="s">
        <v>8</v>
      </c>
      <c r="E444" s="6">
        <f>VALUE(29.25)</f>
        <v>29.25</v>
      </c>
      <c r="F444" s="5" t="s">
        <v>10</v>
      </c>
    </row>
    <row r="445" spans="1:6" ht="29">
      <c r="A445" s="1" t="s">
        <v>1335</v>
      </c>
      <c r="B445" s="4" t="s">
        <v>1336</v>
      </c>
      <c r="C445" s="3" t="s">
        <v>1337</v>
      </c>
      <c r="D445" s="5" t="s">
        <v>8</v>
      </c>
      <c r="E445" s="6">
        <f>VALUE(36.75)</f>
        <v>36.75</v>
      </c>
      <c r="F445" s="5" t="s">
        <v>10</v>
      </c>
    </row>
    <row r="446" spans="1:6" ht="29">
      <c r="A446" s="1" t="s">
        <v>1338</v>
      </c>
      <c r="B446" s="4" t="s">
        <v>1339</v>
      </c>
      <c r="C446" s="3" t="s">
        <v>1340</v>
      </c>
      <c r="D446" s="5" t="s">
        <v>8</v>
      </c>
      <c r="E446" s="6">
        <f>VALUE(49)</f>
        <v>49</v>
      </c>
      <c r="F446" s="5" t="s">
        <v>10</v>
      </c>
    </row>
    <row r="447" spans="1:6" ht="29">
      <c r="A447" s="1" t="s">
        <v>1341</v>
      </c>
      <c r="B447" s="4" t="s">
        <v>1342</v>
      </c>
      <c r="C447" s="3" t="s">
        <v>1343</v>
      </c>
      <c r="D447" s="5" t="s">
        <v>8</v>
      </c>
      <c r="E447" s="6">
        <f>VALUE(36.75)</f>
        <v>36.75</v>
      </c>
      <c r="F447" s="5" t="s">
        <v>10</v>
      </c>
    </row>
    <row r="448" spans="1:6" ht="29">
      <c r="A448" s="1" t="s">
        <v>1344</v>
      </c>
      <c r="B448" s="4" t="s">
        <v>1345</v>
      </c>
      <c r="C448" s="3" t="s">
        <v>1346</v>
      </c>
      <c r="D448" s="5" t="s">
        <v>8</v>
      </c>
      <c r="E448" s="6">
        <f>VALUE(74.25)</f>
        <v>74.25</v>
      </c>
      <c r="F448" s="5" t="s">
        <v>10</v>
      </c>
    </row>
    <row r="449" spans="1:6" ht="29">
      <c r="A449" s="1" t="s">
        <v>1347</v>
      </c>
      <c r="B449" s="4" t="s">
        <v>1348</v>
      </c>
      <c r="C449" s="3" t="s">
        <v>1349</v>
      </c>
      <c r="D449" s="5" t="s">
        <v>8</v>
      </c>
      <c r="E449" s="6">
        <f>VALUE(99)</f>
        <v>99</v>
      </c>
      <c r="F449" s="5" t="s">
        <v>10</v>
      </c>
    </row>
    <row r="450" spans="1:6" ht="29">
      <c r="A450" s="1" t="s">
        <v>1350</v>
      </c>
      <c r="B450" s="4" t="s">
        <v>1351</v>
      </c>
      <c r="C450" s="3" t="s">
        <v>1352</v>
      </c>
      <c r="D450" s="5" t="s">
        <v>8</v>
      </c>
      <c r="E450" s="6">
        <f>VALUE(74.25)</f>
        <v>74.25</v>
      </c>
      <c r="F450" s="5" t="s">
        <v>10</v>
      </c>
    </row>
    <row r="451" spans="1:6" ht="29">
      <c r="A451" s="1" t="s">
        <v>1353</v>
      </c>
      <c r="B451" s="4" t="s">
        <v>1354</v>
      </c>
      <c r="C451" s="3" t="s">
        <v>1355</v>
      </c>
      <c r="D451" s="5" t="s">
        <v>8</v>
      </c>
      <c r="E451" s="6">
        <f>VALUE(119.25)</f>
        <v>119.25</v>
      </c>
      <c r="F451" s="5" t="s">
        <v>10</v>
      </c>
    </row>
    <row r="452" spans="1:6" ht="29">
      <c r="A452" s="1" t="s">
        <v>1356</v>
      </c>
      <c r="B452" s="4" t="s">
        <v>1357</v>
      </c>
      <c r="C452" s="3" t="s">
        <v>1358</v>
      </c>
      <c r="D452" s="5" t="s">
        <v>8</v>
      </c>
      <c r="E452" s="6">
        <f>VALUE(159)</f>
        <v>159</v>
      </c>
      <c r="F452" s="5" t="s">
        <v>10</v>
      </c>
    </row>
    <row r="453" spans="1:6" ht="29">
      <c r="A453" s="1" t="s">
        <v>1359</v>
      </c>
      <c r="B453" s="4" t="s">
        <v>1360</v>
      </c>
      <c r="C453" s="3" t="s">
        <v>1361</v>
      </c>
      <c r="D453" s="5" t="s">
        <v>8</v>
      </c>
      <c r="E453" s="6">
        <f>VALUE(119.25)</f>
        <v>119.25</v>
      </c>
      <c r="F453" s="5" t="s">
        <v>10</v>
      </c>
    </row>
    <row r="454" spans="1:6" ht="29">
      <c r="A454" s="1" t="s">
        <v>1362</v>
      </c>
      <c r="B454" s="4" t="s">
        <v>1363</v>
      </c>
      <c r="C454" s="3" t="s">
        <v>1364</v>
      </c>
      <c r="D454" s="5" t="s">
        <v>8</v>
      </c>
      <c r="E454" s="6">
        <f>VALUE(186.75)</f>
        <v>186.75</v>
      </c>
      <c r="F454" s="5" t="s">
        <v>10</v>
      </c>
    </row>
    <row r="455" spans="1:6" ht="29">
      <c r="A455" s="1" t="s">
        <v>1365</v>
      </c>
      <c r="B455" s="4" t="s">
        <v>1366</v>
      </c>
      <c r="C455" s="3" t="s">
        <v>1367</v>
      </c>
      <c r="D455" s="5" t="s">
        <v>8</v>
      </c>
      <c r="E455" s="6">
        <f>VALUE(249)</f>
        <v>249</v>
      </c>
      <c r="F455" s="5" t="s">
        <v>10</v>
      </c>
    </row>
    <row r="456" spans="1:6" ht="29">
      <c r="A456" s="1" t="s">
        <v>1368</v>
      </c>
      <c r="B456" s="4" t="s">
        <v>1369</v>
      </c>
      <c r="C456" s="3" t="s">
        <v>1370</v>
      </c>
      <c r="D456" s="5" t="s">
        <v>8</v>
      </c>
      <c r="E456" s="6">
        <f>VALUE(186.75)</f>
        <v>186.75</v>
      </c>
      <c r="F456" s="5" t="s">
        <v>10</v>
      </c>
    </row>
    <row r="457" spans="1:6" ht="29">
      <c r="A457" s="1" t="s">
        <v>1371</v>
      </c>
      <c r="B457" s="4" t="s">
        <v>1372</v>
      </c>
      <c r="C457" s="3" t="s">
        <v>1373</v>
      </c>
      <c r="D457" s="5" t="s">
        <v>8</v>
      </c>
      <c r="E457" s="6">
        <f>VALUE(487.5)</f>
        <v>487.5</v>
      </c>
      <c r="F457" s="5" t="s">
        <v>10</v>
      </c>
    </row>
    <row r="458" spans="1:6" ht="29">
      <c r="A458" s="1" t="s">
        <v>1374</v>
      </c>
      <c r="B458" s="4" t="s">
        <v>1375</v>
      </c>
      <c r="C458" s="3" t="s">
        <v>1376</v>
      </c>
      <c r="D458" s="5" t="s">
        <v>8</v>
      </c>
      <c r="E458" s="6">
        <f>VALUE(650)</f>
        <v>650</v>
      </c>
      <c r="F458" s="5" t="s">
        <v>10</v>
      </c>
    </row>
    <row r="459" spans="1:6" ht="29">
      <c r="A459" s="1" t="s">
        <v>1377</v>
      </c>
      <c r="B459" s="4" t="s">
        <v>1378</v>
      </c>
      <c r="C459" s="3" t="s">
        <v>1379</v>
      </c>
      <c r="D459" s="5" t="s">
        <v>8</v>
      </c>
      <c r="E459" s="6">
        <f>VALUE(487.5)</f>
        <v>487.5</v>
      </c>
      <c r="F459" s="5" t="s">
        <v>10</v>
      </c>
    </row>
    <row r="460" spans="1:6" ht="29">
      <c r="A460" s="1" t="s">
        <v>1380</v>
      </c>
      <c r="B460" s="4" t="s">
        <v>1381</v>
      </c>
      <c r="C460" s="3" t="s">
        <v>1382</v>
      </c>
      <c r="D460" s="5" t="s">
        <v>8</v>
      </c>
      <c r="E460" s="6">
        <f>VALUE(186.75)</f>
        <v>186.75</v>
      </c>
      <c r="F460" s="5" t="s">
        <v>10</v>
      </c>
    </row>
    <row r="461" spans="1:6" ht="29">
      <c r="A461" s="1" t="s">
        <v>1383</v>
      </c>
      <c r="B461" s="4" t="s">
        <v>1384</v>
      </c>
      <c r="C461" s="3" t="s">
        <v>1385</v>
      </c>
      <c r="D461" s="5" t="s">
        <v>8</v>
      </c>
      <c r="E461" s="6">
        <f>VALUE(249)</f>
        <v>249</v>
      </c>
      <c r="F461" s="5" t="s">
        <v>10</v>
      </c>
    </row>
    <row r="462" spans="1:6" ht="29">
      <c r="A462" s="1" t="s">
        <v>1386</v>
      </c>
      <c r="B462" s="4" t="s">
        <v>1387</v>
      </c>
      <c r="C462" s="3" t="s">
        <v>1388</v>
      </c>
      <c r="D462" s="5" t="s">
        <v>8</v>
      </c>
      <c r="E462" s="6">
        <f>VALUE(186.75)</f>
        <v>186.75</v>
      </c>
      <c r="F462" s="5" t="s">
        <v>10</v>
      </c>
    </row>
    <row r="463" spans="1:6" ht="43.5">
      <c r="A463" s="1" t="s">
        <v>1389</v>
      </c>
      <c r="B463" s="4" t="s">
        <v>1390</v>
      </c>
      <c r="C463" s="3" t="s">
        <v>1391</v>
      </c>
      <c r="D463" s="5" t="s">
        <v>8</v>
      </c>
      <c r="E463" s="6">
        <f>VALUE(2249.25)</f>
        <v>2249.25</v>
      </c>
      <c r="F463" s="5" t="s">
        <v>10</v>
      </c>
    </row>
    <row r="464" spans="1:6" ht="43.5">
      <c r="A464" s="1" t="s">
        <v>1392</v>
      </c>
      <c r="B464" s="4" t="s">
        <v>1393</v>
      </c>
      <c r="C464" s="3" t="s">
        <v>1394</v>
      </c>
      <c r="D464" s="5" t="s">
        <v>8</v>
      </c>
      <c r="E464" s="6">
        <f>VALUE(2999)</f>
        <v>2999</v>
      </c>
      <c r="F464" s="5" t="s">
        <v>10</v>
      </c>
    </row>
    <row r="465" spans="1:6" ht="43.5">
      <c r="A465" s="1" t="s">
        <v>1395</v>
      </c>
      <c r="B465" s="4" t="s">
        <v>1396</v>
      </c>
      <c r="C465" s="3" t="s">
        <v>1397</v>
      </c>
      <c r="D465" s="5" t="s">
        <v>8</v>
      </c>
      <c r="E465" s="6">
        <f>VALUE(2249.25)</f>
        <v>2249.25</v>
      </c>
      <c r="F465" s="5" t="s">
        <v>10</v>
      </c>
    </row>
    <row r="466" spans="1:6" ht="29">
      <c r="A466" s="1" t="s">
        <v>1398</v>
      </c>
      <c r="B466" s="4" t="s">
        <v>1399</v>
      </c>
      <c r="C466" s="3" t="s">
        <v>1400</v>
      </c>
      <c r="D466" s="5" t="s">
        <v>8</v>
      </c>
      <c r="E466" s="6">
        <f>VALUE(7899)</f>
        <v>7899</v>
      </c>
      <c r="F466" s="5" t="s">
        <v>10</v>
      </c>
    </row>
    <row r="467" spans="1:6" ht="29">
      <c r="A467" s="1" t="s">
        <v>1401</v>
      </c>
      <c r="B467" s="4" t="s">
        <v>1402</v>
      </c>
      <c r="C467" s="3" t="s">
        <v>1403</v>
      </c>
      <c r="D467" s="5" t="s">
        <v>8</v>
      </c>
      <c r="E467" s="6">
        <f>VALUE(5924.25)</f>
        <v>5924.25</v>
      </c>
      <c r="F467" s="5" t="s">
        <v>10</v>
      </c>
    </row>
    <row r="468" spans="1:6" ht="43.5">
      <c r="A468" s="1" t="s">
        <v>1404</v>
      </c>
      <c r="B468" s="4" t="s">
        <v>1405</v>
      </c>
      <c r="C468" s="3" t="s">
        <v>1406</v>
      </c>
      <c r="D468" s="5" t="s">
        <v>8</v>
      </c>
      <c r="E468" s="6">
        <f>VALUE(2399.25)</f>
        <v>2399.25</v>
      </c>
      <c r="F468" s="5" t="s">
        <v>10</v>
      </c>
    </row>
    <row r="469" spans="1:6" ht="43.5">
      <c r="A469" s="1" t="s">
        <v>1407</v>
      </c>
      <c r="B469" s="4" t="s">
        <v>1408</v>
      </c>
      <c r="C469" s="3" t="s">
        <v>1409</v>
      </c>
      <c r="D469" s="5" t="s">
        <v>8</v>
      </c>
      <c r="E469" s="6">
        <f>VALUE(3199)</f>
        <v>3199</v>
      </c>
      <c r="F469" s="5" t="s">
        <v>10</v>
      </c>
    </row>
    <row r="470" spans="1:6" ht="43.5">
      <c r="A470" s="1" t="s">
        <v>1410</v>
      </c>
      <c r="B470" s="4" t="s">
        <v>1411</v>
      </c>
      <c r="C470" s="3" t="s">
        <v>1412</v>
      </c>
      <c r="D470" s="5" t="s">
        <v>8</v>
      </c>
      <c r="E470" s="6">
        <f>VALUE(2399.25)</f>
        <v>2399.25</v>
      </c>
      <c r="F470" s="5" t="s">
        <v>10</v>
      </c>
    </row>
    <row r="471" spans="1:6" ht="43.5">
      <c r="A471" s="1" t="s">
        <v>1413</v>
      </c>
      <c r="B471" s="4" t="s">
        <v>1414</v>
      </c>
      <c r="C471" s="3" t="s">
        <v>1415</v>
      </c>
      <c r="D471" s="5" t="s">
        <v>8</v>
      </c>
      <c r="E471" s="6">
        <f>VALUE(2414.25)</f>
        <v>2414.25</v>
      </c>
      <c r="F471" s="5" t="s">
        <v>10</v>
      </c>
    </row>
    <row r="472" spans="1:6" ht="43.5">
      <c r="A472" s="1" t="s">
        <v>1416</v>
      </c>
      <c r="B472" s="4" t="s">
        <v>1417</v>
      </c>
      <c r="C472" s="3" t="s">
        <v>1418</v>
      </c>
      <c r="D472" s="5" t="s">
        <v>8</v>
      </c>
      <c r="E472" s="6">
        <f>VALUE(3219)</f>
        <v>3219</v>
      </c>
      <c r="F472" s="5" t="s">
        <v>10</v>
      </c>
    </row>
    <row r="473" spans="1:6" ht="43.5">
      <c r="A473" s="1" t="s">
        <v>1419</v>
      </c>
      <c r="B473" s="4" t="s">
        <v>1420</v>
      </c>
      <c r="C473" s="3" t="s">
        <v>1421</v>
      </c>
      <c r="D473" s="5" t="s">
        <v>8</v>
      </c>
      <c r="E473" s="6">
        <f>VALUE(2414.25)</f>
        <v>2414.25</v>
      </c>
      <c r="F473" s="5" t="s">
        <v>10</v>
      </c>
    </row>
    <row r="474" spans="1:6" ht="43.5">
      <c r="A474" s="1" t="s">
        <v>1422</v>
      </c>
      <c r="B474" s="4" t="s">
        <v>1423</v>
      </c>
      <c r="C474" s="3" t="s">
        <v>1424</v>
      </c>
      <c r="D474" s="5" t="s">
        <v>8</v>
      </c>
      <c r="E474" s="6">
        <f>VALUE(4050)</f>
        <v>4050</v>
      </c>
      <c r="F474" s="5" t="s">
        <v>10</v>
      </c>
    </row>
    <row r="475" spans="1:6" ht="43.5">
      <c r="A475" s="1" t="s">
        <v>1425</v>
      </c>
      <c r="B475" s="4" t="s">
        <v>1426</v>
      </c>
      <c r="C475" s="3" t="s">
        <v>1427</v>
      </c>
      <c r="D475" s="5" t="s">
        <v>8</v>
      </c>
      <c r="E475" s="6">
        <f>VALUE(5400)</f>
        <v>5400</v>
      </c>
      <c r="F475" s="5" t="s">
        <v>10</v>
      </c>
    </row>
    <row r="476" spans="1:6" ht="43.5">
      <c r="A476" s="1" t="s">
        <v>1428</v>
      </c>
      <c r="B476" s="4" t="s">
        <v>1429</v>
      </c>
      <c r="C476" s="3" t="s">
        <v>1430</v>
      </c>
      <c r="D476" s="5" t="s">
        <v>8</v>
      </c>
      <c r="E476" s="6">
        <f>VALUE(4050)</f>
        <v>4050</v>
      </c>
      <c r="F476" s="5" t="s">
        <v>10</v>
      </c>
    </row>
    <row r="477" spans="1:6" ht="43.5">
      <c r="A477" s="1" t="s">
        <v>1431</v>
      </c>
      <c r="B477" s="4" t="s">
        <v>1432</v>
      </c>
      <c r="C477" s="3" t="s">
        <v>1433</v>
      </c>
      <c r="D477" s="5" t="s">
        <v>8</v>
      </c>
      <c r="E477" s="6">
        <f>VALUE(4350)</f>
        <v>4350</v>
      </c>
      <c r="F477" s="5" t="s">
        <v>10</v>
      </c>
    </row>
    <row r="478" spans="1:6" ht="43.5">
      <c r="A478" s="1" t="s">
        <v>1434</v>
      </c>
      <c r="B478" s="4" t="s">
        <v>1435</v>
      </c>
      <c r="C478" s="3" t="s">
        <v>1436</v>
      </c>
      <c r="D478" s="5" t="s">
        <v>8</v>
      </c>
      <c r="E478" s="6">
        <f>VALUE(5800)</f>
        <v>5800</v>
      </c>
      <c r="F478" s="5" t="s">
        <v>10</v>
      </c>
    </row>
    <row r="479" spans="1:6" ht="43.5">
      <c r="A479" s="1" t="s">
        <v>1437</v>
      </c>
      <c r="B479" s="4" t="s">
        <v>1438</v>
      </c>
      <c r="C479" s="3" t="s">
        <v>1439</v>
      </c>
      <c r="D479" s="5" t="s">
        <v>8</v>
      </c>
      <c r="E479" s="6">
        <f>VALUE(4350)</f>
        <v>4350</v>
      </c>
      <c r="F479" s="5" t="s">
        <v>10</v>
      </c>
    </row>
    <row r="480" spans="1:6" ht="43.5">
      <c r="A480" s="1" t="s">
        <v>1440</v>
      </c>
      <c r="B480" s="4" t="s">
        <v>1441</v>
      </c>
      <c r="C480" s="3" t="s">
        <v>1442</v>
      </c>
      <c r="D480" s="5" t="s">
        <v>8</v>
      </c>
      <c r="E480" s="6">
        <f>VALUE(5250)</f>
        <v>5250</v>
      </c>
      <c r="F480" s="5" t="s">
        <v>10</v>
      </c>
    </row>
    <row r="481" spans="1:6" ht="29">
      <c r="A481" s="1" t="s">
        <v>1443</v>
      </c>
      <c r="B481" s="4" t="s">
        <v>1444</v>
      </c>
      <c r="C481" s="3" t="s">
        <v>1445</v>
      </c>
      <c r="D481" s="5" t="s">
        <v>8</v>
      </c>
      <c r="E481" s="6">
        <f>VALUE(7000)</f>
        <v>7000</v>
      </c>
      <c r="F481" s="5" t="s">
        <v>10</v>
      </c>
    </row>
    <row r="482" spans="1:6" ht="29">
      <c r="A482" s="1" t="s">
        <v>1446</v>
      </c>
      <c r="B482" s="4" t="s">
        <v>1447</v>
      </c>
      <c r="C482" s="3" t="s">
        <v>1448</v>
      </c>
      <c r="D482" s="5" t="s">
        <v>8</v>
      </c>
      <c r="E482" s="6">
        <f>VALUE(5250)</f>
        <v>5250</v>
      </c>
      <c r="F482" s="5" t="s">
        <v>10</v>
      </c>
    </row>
    <row r="483" spans="1:6" ht="43.5">
      <c r="A483" s="1" t="s">
        <v>1449</v>
      </c>
      <c r="B483" s="4" t="s">
        <v>1450</v>
      </c>
      <c r="C483" s="3" t="s">
        <v>1451</v>
      </c>
      <c r="D483" s="5" t="s">
        <v>8</v>
      </c>
      <c r="E483" s="6">
        <f>VALUE(5550)</f>
        <v>5550</v>
      </c>
      <c r="F483" s="5" t="s">
        <v>10</v>
      </c>
    </row>
    <row r="484" spans="1:6" ht="29">
      <c r="A484" s="1" t="s">
        <v>1452</v>
      </c>
      <c r="B484" s="4" t="s">
        <v>1453</v>
      </c>
      <c r="C484" s="3" t="s">
        <v>1454</v>
      </c>
      <c r="D484" s="5" t="s">
        <v>8</v>
      </c>
      <c r="E484" s="6">
        <f>VALUE(7400)</f>
        <v>7400</v>
      </c>
      <c r="F484" s="5" t="s">
        <v>10</v>
      </c>
    </row>
    <row r="485" spans="1:6" ht="29">
      <c r="A485" s="1" t="s">
        <v>1455</v>
      </c>
      <c r="B485" s="4" t="s">
        <v>1456</v>
      </c>
      <c r="C485" s="3" t="s">
        <v>1457</v>
      </c>
      <c r="D485" s="5" t="s">
        <v>8</v>
      </c>
      <c r="E485" s="6">
        <f>VALUE(5550)</f>
        <v>5550</v>
      </c>
      <c r="F485" s="5" t="s">
        <v>10</v>
      </c>
    </row>
    <row r="486" spans="1:6" ht="43.5">
      <c r="A486" s="1" t="s">
        <v>1458</v>
      </c>
      <c r="B486" s="4" t="s">
        <v>1459</v>
      </c>
      <c r="C486" s="3" t="s">
        <v>1460</v>
      </c>
      <c r="D486" s="5" t="s">
        <v>8</v>
      </c>
      <c r="E486" s="6">
        <f>VALUE(6450)</f>
        <v>6450</v>
      </c>
      <c r="F486" s="5" t="s">
        <v>10</v>
      </c>
    </row>
    <row r="487" spans="1:6" ht="43.5">
      <c r="A487" s="1" t="s">
        <v>1461</v>
      </c>
      <c r="B487" s="4" t="s">
        <v>1462</v>
      </c>
      <c r="C487" s="3" t="s">
        <v>1463</v>
      </c>
      <c r="D487" s="5" t="s">
        <v>8</v>
      </c>
      <c r="E487" s="6">
        <f>VALUE(8600)</f>
        <v>8600</v>
      </c>
      <c r="F487" s="5" t="s">
        <v>10</v>
      </c>
    </row>
    <row r="488" spans="1:6" ht="29">
      <c r="A488" s="1" t="s">
        <v>1464</v>
      </c>
      <c r="B488" s="4" t="s">
        <v>1465</v>
      </c>
      <c r="C488" s="3" t="s">
        <v>1466</v>
      </c>
      <c r="D488" s="5" t="s">
        <v>8</v>
      </c>
      <c r="E488" s="6">
        <f>VALUE(6450)</f>
        <v>6450</v>
      </c>
      <c r="F488" s="5" t="s">
        <v>10</v>
      </c>
    </row>
    <row r="489" spans="1:6" ht="43.5">
      <c r="A489" s="1" t="s">
        <v>1467</v>
      </c>
      <c r="B489" s="4" t="s">
        <v>1468</v>
      </c>
      <c r="C489" s="3" t="s">
        <v>1469</v>
      </c>
      <c r="D489" s="5" t="s">
        <v>8</v>
      </c>
      <c r="E489" s="6">
        <f>VALUE(6750)</f>
        <v>6750</v>
      </c>
      <c r="F489" s="5" t="s">
        <v>10</v>
      </c>
    </row>
    <row r="490" spans="1:6" ht="43.5">
      <c r="A490" s="1" t="s">
        <v>1470</v>
      </c>
      <c r="B490" s="4" t="s">
        <v>1471</v>
      </c>
      <c r="C490" s="3" t="s">
        <v>1472</v>
      </c>
      <c r="D490" s="5" t="s">
        <v>8</v>
      </c>
      <c r="E490" s="6">
        <f>VALUE(9000)</f>
        <v>9000</v>
      </c>
      <c r="F490" s="5" t="s">
        <v>10</v>
      </c>
    </row>
    <row r="491" spans="1:6" ht="29">
      <c r="A491" s="1" t="s">
        <v>1473</v>
      </c>
      <c r="B491" s="4" t="s">
        <v>1474</v>
      </c>
      <c r="C491" s="3" t="s">
        <v>1475</v>
      </c>
      <c r="D491" s="5" t="s">
        <v>8</v>
      </c>
      <c r="E491" s="6">
        <f>VALUE(6750)</f>
        <v>6750</v>
      </c>
      <c r="F491" s="5" t="s">
        <v>10</v>
      </c>
    </row>
    <row r="492" spans="1:6" ht="43.5">
      <c r="A492" s="1" t="s">
        <v>1476</v>
      </c>
      <c r="B492" s="4" t="s">
        <v>1477</v>
      </c>
      <c r="C492" s="3" t="s">
        <v>1478</v>
      </c>
      <c r="D492" s="5" t="s">
        <v>8</v>
      </c>
      <c r="E492" s="6">
        <f>VALUE(10650)</f>
        <v>10650</v>
      </c>
      <c r="F492" s="5" t="s">
        <v>10</v>
      </c>
    </row>
    <row r="493" spans="1:6" ht="43.5">
      <c r="A493" s="1" t="s">
        <v>1479</v>
      </c>
      <c r="B493" s="4" t="s">
        <v>1480</v>
      </c>
      <c r="C493" s="3" t="s">
        <v>1481</v>
      </c>
      <c r="D493" s="5" t="s">
        <v>8</v>
      </c>
      <c r="E493" s="6">
        <f>VALUE(899.25)</f>
        <v>899.25</v>
      </c>
      <c r="F493" s="5" t="s">
        <v>10</v>
      </c>
    </row>
    <row r="494" spans="1:6" ht="43.5">
      <c r="A494" s="1" t="s">
        <v>1482</v>
      </c>
      <c r="B494" s="4" t="s">
        <v>1483</v>
      </c>
      <c r="C494" s="3" t="s">
        <v>1484</v>
      </c>
      <c r="D494" s="5" t="s">
        <v>8</v>
      </c>
      <c r="E494" s="6">
        <f>VALUE(1199)</f>
        <v>1199</v>
      </c>
      <c r="F494" s="5" t="s">
        <v>10</v>
      </c>
    </row>
    <row r="495" spans="1:6" ht="43.5">
      <c r="A495" s="1" t="s">
        <v>1485</v>
      </c>
      <c r="B495" s="4" t="s">
        <v>1486</v>
      </c>
      <c r="C495" s="3" t="s">
        <v>1487</v>
      </c>
      <c r="D495" s="5" t="s">
        <v>8</v>
      </c>
      <c r="E495" s="6">
        <f>VALUE(899.25)</f>
        <v>899.25</v>
      </c>
      <c r="F495" s="5" t="s">
        <v>10</v>
      </c>
    </row>
    <row r="496" spans="1:6" ht="43.5">
      <c r="A496" s="1" t="s">
        <v>1488</v>
      </c>
      <c r="B496" s="4" t="s">
        <v>1489</v>
      </c>
      <c r="C496" s="3" t="s">
        <v>1490</v>
      </c>
      <c r="D496" s="5" t="s">
        <v>8</v>
      </c>
      <c r="E496" s="6">
        <f>VALUE(1199.25)</f>
        <v>1199.25</v>
      </c>
      <c r="F496" s="5" t="s">
        <v>10</v>
      </c>
    </row>
    <row r="497" spans="1:6" ht="43.5">
      <c r="A497" s="1" t="s">
        <v>1491</v>
      </c>
      <c r="B497" s="4" t="s">
        <v>1492</v>
      </c>
      <c r="C497" s="3" t="s">
        <v>1493</v>
      </c>
      <c r="D497" s="5" t="s">
        <v>8</v>
      </c>
      <c r="E497" s="6">
        <f>VALUE(1599)</f>
        <v>1599</v>
      </c>
      <c r="F497" s="5" t="s">
        <v>10</v>
      </c>
    </row>
    <row r="498" spans="1:6" ht="43.5">
      <c r="A498" s="1" t="s">
        <v>1494</v>
      </c>
      <c r="B498" s="4" t="s">
        <v>1495</v>
      </c>
      <c r="C498" s="3" t="s">
        <v>1496</v>
      </c>
      <c r="D498" s="5" t="s">
        <v>8</v>
      </c>
      <c r="E498" s="6">
        <f>VALUE(1199.25)</f>
        <v>1199.25</v>
      </c>
      <c r="F498" s="5" t="s">
        <v>10</v>
      </c>
    </row>
    <row r="499" spans="1:6" ht="43.5">
      <c r="A499" s="1" t="s">
        <v>1497</v>
      </c>
      <c r="B499" s="4" t="s">
        <v>1498</v>
      </c>
      <c r="C499" s="3" t="s">
        <v>1499</v>
      </c>
      <c r="D499" s="5" t="s">
        <v>8</v>
      </c>
      <c r="E499" s="6">
        <f>VALUE(749.25)</f>
        <v>749.25</v>
      </c>
      <c r="F499" s="5" t="s">
        <v>10</v>
      </c>
    </row>
    <row r="500" spans="1:6" ht="43.5">
      <c r="A500" s="1" t="s">
        <v>1500</v>
      </c>
      <c r="B500" s="4" t="s">
        <v>1501</v>
      </c>
      <c r="C500" s="3" t="s">
        <v>1502</v>
      </c>
      <c r="D500" s="5" t="s">
        <v>8</v>
      </c>
      <c r="E500" s="6">
        <f>VALUE(999)</f>
        <v>999</v>
      </c>
      <c r="F500" s="5" t="s">
        <v>10</v>
      </c>
    </row>
    <row r="501" spans="1:6" ht="43.5">
      <c r="A501" s="1" t="s">
        <v>1503</v>
      </c>
      <c r="B501" s="4" t="s">
        <v>1504</v>
      </c>
      <c r="C501" s="3" t="s">
        <v>1505</v>
      </c>
      <c r="D501" s="5" t="s">
        <v>8</v>
      </c>
      <c r="E501" s="6">
        <f>VALUE(749.25)</f>
        <v>749.25</v>
      </c>
      <c r="F501" s="5" t="s">
        <v>10</v>
      </c>
    </row>
    <row r="502" spans="1:6" ht="43.5">
      <c r="A502" s="1" t="s">
        <v>1506</v>
      </c>
      <c r="B502" s="4" t="s">
        <v>1507</v>
      </c>
      <c r="C502" s="3" t="s">
        <v>1508</v>
      </c>
      <c r="D502" s="5" t="s">
        <v>8</v>
      </c>
      <c r="E502" s="6">
        <f>VALUE(749.25)</f>
        <v>749.25</v>
      </c>
      <c r="F502" s="5" t="s">
        <v>10</v>
      </c>
    </row>
    <row r="503" spans="1:6" ht="29">
      <c r="A503" s="1" t="s">
        <v>1509</v>
      </c>
      <c r="B503" s="4" t="s">
        <v>1510</v>
      </c>
      <c r="C503" s="3" t="s">
        <v>1511</v>
      </c>
      <c r="D503" s="5" t="s">
        <v>8</v>
      </c>
      <c r="E503" s="6">
        <f>VALUE(999)</f>
        <v>999</v>
      </c>
      <c r="F503" s="5" t="s">
        <v>10</v>
      </c>
    </row>
    <row r="504" spans="1:6" ht="29">
      <c r="A504" s="1" t="s">
        <v>1512</v>
      </c>
      <c r="B504" s="4" t="s">
        <v>1513</v>
      </c>
      <c r="C504" s="3" t="s">
        <v>1514</v>
      </c>
      <c r="D504" s="5" t="s">
        <v>8</v>
      </c>
      <c r="E504" s="6">
        <f>VALUE(749.25)</f>
        <v>749.25</v>
      </c>
      <c r="F504" s="5" t="s">
        <v>10</v>
      </c>
    </row>
    <row r="505" spans="1:6" ht="29">
      <c r="A505" s="1" t="s">
        <v>1515</v>
      </c>
      <c r="B505" s="4" t="s">
        <v>1516</v>
      </c>
      <c r="C505" s="3" t="s">
        <v>1517</v>
      </c>
      <c r="D505" s="5" t="s">
        <v>8</v>
      </c>
      <c r="E505" s="6">
        <f>VALUE(1499.25)</f>
        <v>1499.25</v>
      </c>
      <c r="F505" s="5" t="s">
        <v>10</v>
      </c>
    </row>
    <row r="506" spans="1:6" ht="29">
      <c r="A506" s="1" t="s">
        <v>1518</v>
      </c>
      <c r="B506" s="4" t="s">
        <v>1519</v>
      </c>
      <c r="C506" s="3" t="s">
        <v>1520</v>
      </c>
      <c r="D506" s="5" t="s">
        <v>8</v>
      </c>
      <c r="E506" s="6">
        <f>VALUE(1999)</f>
        <v>1999</v>
      </c>
      <c r="F506" s="5" t="s">
        <v>10</v>
      </c>
    </row>
    <row r="507" spans="1:6" ht="29">
      <c r="A507" s="1" t="s">
        <v>1521</v>
      </c>
      <c r="B507" s="4" t="s">
        <v>1522</v>
      </c>
      <c r="C507" s="3" t="s">
        <v>1523</v>
      </c>
      <c r="D507" s="5" t="s">
        <v>8</v>
      </c>
      <c r="E507" s="6">
        <f>VALUE(1499.25)</f>
        <v>1499.25</v>
      </c>
      <c r="F507" s="5" t="s">
        <v>10</v>
      </c>
    </row>
    <row r="508" spans="1:6" ht="43.5">
      <c r="A508" s="1" t="s">
        <v>1524</v>
      </c>
      <c r="B508" s="4" t="s">
        <v>1525</v>
      </c>
      <c r="C508" s="3" t="s">
        <v>1526</v>
      </c>
      <c r="D508" s="5" t="s">
        <v>8</v>
      </c>
      <c r="E508" s="6">
        <f>VALUE(2999.25)</f>
        <v>2999.25</v>
      </c>
      <c r="F508" s="5" t="s">
        <v>10</v>
      </c>
    </row>
    <row r="509" spans="1:6" ht="43.5">
      <c r="A509" s="1" t="s">
        <v>1527</v>
      </c>
      <c r="B509" s="4" t="s">
        <v>1528</v>
      </c>
      <c r="C509" s="3" t="s">
        <v>1529</v>
      </c>
      <c r="D509" s="5" t="s">
        <v>8</v>
      </c>
      <c r="E509" s="6">
        <f>VALUE(3999)</f>
        <v>3999</v>
      </c>
      <c r="F509" s="5" t="s">
        <v>10</v>
      </c>
    </row>
    <row r="510" spans="1:6" ht="43.5">
      <c r="A510" s="1" t="s">
        <v>1530</v>
      </c>
      <c r="B510" s="4" t="s">
        <v>1531</v>
      </c>
      <c r="C510" s="3" t="s">
        <v>1532</v>
      </c>
      <c r="D510" s="5" t="s">
        <v>8</v>
      </c>
      <c r="E510" s="6">
        <f>VALUE(2999.25)</f>
        <v>2999.25</v>
      </c>
      <c r="F510" s="5" t="s">
        <v>10</v>
      </c>
    </row>
    <row r="511" spans="1:6" ht="29">
      <c r="A511" s="1" t="s">
        <v>1533</v>
      </c>
      <c r="B511" s="4" t="s">
        <v>1534</v>
      </c>
      <c r="C511" s="3" t="s">
        <v>1535</v>
      </c>
      <c r="D511" s="5" t="s">
        <v>8</v>
      </c>
      <c r="E511" s="6">
        <f>VALUE(749.25)</f>
        <v>749.25</v>
      </c>
      <c r="F511" s="5" t="s">
        <v>10</v>
      </c>
    </row>
    <row r="512" spans="1:6" ht="29">
      <c r="A512" s="1" t="s">
        <v>1536</v>
      </c>
      <c r="B512" s="4" t="s">
        <v>1537</v>
      </c>
      <c r="C512" s="3" t="s">
        <v>1538</v>
      </c>
      <c r="D512" s="5" t="s">
        <v>8</v>
      </c>
      <c r="E512" s="6">
        <f>VALUE(999)</f>
        <v>999</v>
      </c>
      <c r="F512" s="5" t="s">
        <v>10</v>
      </c>
    </row>
    <row r="513" spans="1:6" ht="29">
      <c r="A513" s="1" t="s">
        <v>1539</v>
      </c>
      <c r="B513" s="4" t="s">
        <v>1540</v>
      </c>
      <c r="C513" s="3" t="s">
        <v>1541</v>
      </c>
      <c r="D513" s="5" t="s">
        <v>8</v>
      </c>
      <c r="E513" s="6">
        <f>VALUE(749.25)</f>
        <v>749.25</v>
      </c>
      <c r="F513" s="5" t="s">
        <v>10</v>
      </c>
    </row>
    <row r="514" spans="1:6" ht="29">
      <c r="A514" s="1" t="s">
        <v>1542</v>
      </c>
      <c r="B514" s="4" t="s">
        <v>1543</v>
      </c>
      <c r="C514" s="3" t="s">
        <v>1544</v>
      </c>
      <c r="D514" s="5" t="s">
        <v>8</v>
      </c>
      <c r="E514" s="6">
        <f>VALUE(899.25)</f>
        <v>899.25</v>
      </c>
      <c r="F514" s="5" t="s">
        <v>10</v>
      </c>
    </row>
    <row r="515" spans="1:6" ht="29">
      <c r="A515" s="1" t="s">
        <v>1545</v>
      </c>
      <c r="B515" s="4" t="s">
        <v>1546</v>
      </c>
      <c r="C515" s="3" t="s">
        <v>1547</v>
      </c>
      <c r="D515" s="5" t="s">
        <v>8</v>
      </c>
      <c r="E515" s="6">
        <f>VALUE(1199)</f>
        <v>1199</v>
      </c>
      <c r="F515" s="5" t="s">
        <v>10</v>
      </c>
    </row>
    <row r="516" spans="1:6" ht="29">
      <c r="A516" s="1" t="s">
        <v>1548</v>
      </c>
      <c r="B516" s="4" t="s">
        <v>1549</v>
      </c>
      <c r="C516" s="3" t="s">
        <v>1550</v>
      </c>
      <c r="D516" s="5" t="s">
        <v>8</v>
      </c>
      <c r="E516" s="6">
        <f>VALUE(899.25)</f>
        <v>899.25</v>
      </c>
      <c r="F516" s="5" t="s">
        <v>10</v>
      </c>
    </row>
    <row r="517" spans="1:6" ht="43.5">
      <c r="A517" s="1" t="s">
        <v>1551</v>
      </c>
      <c r="B517" s="4" t="s">
        <v>1552</v>
      </c>
      <c r="C517" s="3" t="s">
        <v>1553</v>
      </c>
      <c r="D517" s="5" t="s">
        <v>8</v>
      </c>
      <c r="E517" s="6">
        <f>VALUE(599.25)</f>
        <v>599.25</v>
      </c>
      <c r="F517" s="5" t="s">
        <v>10</v>
      </c>
    </row>
    <row r="518" spans="1:6" ht="43.5">
      <c r="A518" s="1" t="s">
        <v>1554</v>
      </c>
      <c r="B518" s="4" t="s">
        <v>1555</v>
      </c>
      <c r="C518" s="3" t="s">
        <v>1556</v>
      </c>
      <c r="D518" s="5" t="s">
        <v>8</v>
      </c>
      <c r="E518" s="6">
        <f>VALUE(799)</f>
        <v>799</v>
      </c>
      <c r="F518" s="5" t="s">
        <v>10</v>
      </c>
    </row>
    <row r="519" spans="1:6" ht="29">
      <c r="A519" s="1" t="s">
        <v>1557</v>
      </c>
      <c r="B519" s="4" t="s">
        <v>1558</v>
      </c>
      <c r="C519" s="3" t="s">
        <v>1559</v>
      </c>
      <c r="D519" s="5" t="s">
        <v>8</v>
      </c>
      <c r="E519" s="6">
        <f>VALUE(14200)</f>
        <v>14200</v>
      </c>
      <c r="F519" s="5" t="s">
        <v>10</v>
      </c>
    </row>
    <row r="520" spans="1:6" ht="29">
      <c r="A520" s="1" t="s">
        <v>1560</v>
      </c>
      <c r="B520" s="4" t="s">
        <v>1561</v>
      </c>
      <c r="C520" s="3" t="s">
        <v>1562</v>
      </c>
      <c r="D520" s="5" t="s">
        <v>8</v>
      </c>
      <c r="E520" s="6">
        <f>VALUE(10650)</f>
        <v>10650</v>
      </c>
      <c r="F520" s="5" t="s">
        <v>10</v>
      </c>
    </row>
    <row r="521" spans="1:6" ht="43.5">
      <c r="A521" s="1" t="s">
        <v>1563</v>
      </c>
      <c r="B521" s="4" t="s">
        <v>1564</v>
      </c>
      <c r="C521" s="3" t="s">
        <v>1565</v>
      </c>
      <c r="D521" s="5" t="s">
        <v>8</v>
      </c>
      <c r="E521" s="6">
        <f>VALUE(11250)</f>
        <v>11250</v>
      </c>
      <c r="F521" s="5" t="s">
        <v>10</v>
      </c>
    </row>
    <row r="522" spans="1:6" ht="29">
      <c r="A522" s="1" t="s">
        <v>1566</v>
      </c>
      <c r="B522" s="4" t="s">
        <v>1567</v>
      </c>
      <c r="C522" s="3" t="s">
        <v>1568</v>
      </c>
      <c r="D522" s="5" t="s">
        <v>8</v>
      </c>
      <c r="E522" s="6">
        <f>VALUE(15000)</f>
        <v>15000</v>
      </c>
      <c r="F522" s="5" t="s">
        <v>10</v>
      </c>
    </row>
    <row r="523" spans="1:6" ht="29">
      <c r="A523" s="1" t="s">
        <v>1569</v>
      </c>
      <c r="B523" s="4" t="s">
        <v>1570</v>
      </c>
      <c r="C523" s="3" t="s">
        <v>1571</v>
      </c>
      <c r="D523" s="5" t="s">
        <v>8</v>
      </c>
      <c r="E523" s="6">
        <f>VALUE(11250)</f>
        <v>11250</v>
      </c>
      <c r="F523" s="5" t="s">
        <v>10</v>
      </c>
    </row>
    <row r="524" spans="1:6" ht="43.5">
      <c r="A524" s="1" t="s">
        <v>1572</v>
      </c>
      <c r="B524" s="4" t="s">
        <v>1573</v>
      </c>
      <c r="C524" s="3" t="s">
        <v>1574</v>
      </c>
      <c r="D524" s="5" t="s">
        <v>8</v>
      </c>
      <c r="E524" s="6">
        <f>VALUE(13200)</f>
        <v>13200</v>
      </c>
      <c r="F524" s="5" t="s">
        <v>10</v>
      </c>
    </row>
    <row r="525" spans="1:6" ht="43.5">
      <c r="A525" s="1" t="s">
        <v>1575</v>
      </c>
      <c r="B525" s="4" t="s">
        <v>1576</v>
      </c>
      <c r="C525" s="3" t="s">
        <v>1577</v>
      </c>
      <c r="D525" s="5" t="s">
        <v>8</v>
      </c>
      <c r="E525" s="6">
        <f>VALUE(17600)</f>
        <v>17600</v>
      </c>
      <c r="F525" s="5" t="s">
        <v>10</v>
      </c>
    </row>
    <row r="526" spans="1:6" ht="29">
      <c r="A526" s="1" t="s">
        <v>1578</v>
      </c>
      <c r="B526" s="4" t="s">
        <v>1579</v>
      </c>
      <c r="C526" s="3" t="s">
        <v>1580</v>
      </c>
      <c r="D526" s="5" t="s">
        <v>8</v>
      </c>
      <c r="E526" s="6">
        <f>VALUE(13200)</f>
        <v>13200</v>
      </c>
      <c r="F526" s="5" t="s">
        <v>10</v>
      </c>
    </row>
    <row r="527" spans="1:6" ht="43.5">
      <c r="A527" s="1" t="s">
        <v>1581</v>
      </c>
      <c r="B527" s="4" t="s">
        <v>1582</v>
      </c>
      <c r="C527" s="3" t="s">
        <v>1583</v>
      </c>
      <c r="D527" s="5" t="s">
        <v>8</v>
      </c>
      <c r="E527" s="6">
        <f>VALUE(13800)</f>
        <v>13800</v>
      </c>
      <c r="F527" s="5" t="s">
        <v>10</v>
      </c>
    </row>
    <row r="528" spans="1:6" ht="43.5">
      <c r="A528" s="1" t="s">
        <v>1584</v>
      </c>
      <c r="B528" s="4" t="s">
        <v>1585</v>
      </c>
      <c r="C528" s="3" t="s">
        <v>1586</v>
      </c>
      <c r="D528" s="5" t="s">
        <v>8</v>
      </c>
      <c r="E528" s="6">
        <f>VALUE(18400)</f>
        <v>18400</v>
      </c>
      <c r="F528" s="5" t="s">
        <v>10</v>
      </c>
    </row>
    <row r="529" spans="1:6" ht="29">
      <c r="A529" s="1" t="s">
        <v>1587</v>
      </c>
      <c r="B529" s="4" t="s">
        <v>1588</v>
      </c>
      <c r="C529" s="3" t="s">
        <v>1589</v>
      </c>
      <c r="D529" s="5" t="s">
        <v>8</v>
      </c>
      <c r="E529" s="6">
        <f>VALUE(13800)</f>
        <v>13800</v>
      </c>
      <c r="F529" s="5" t="s">
        <v>10</v>
      </c>
    </row>
    <row r="530" spans="1:6" ht="43.5">
      <c r="A530" s="1" t="s">
        <v>1590</v>
      </c>
      <c r="B530" s="4" t="s">
        <v>1591</v>
      </c>
      <c r="C530" s="3" t="s">
        <v>1592</v>
      </c>
      <c r="D530" s="5" t="s">
        <v>8</v>
      </c>
      <c r="E530" s="6">
        <f>VALUE(2249.25)</f>
        <v>2249.25</v>
      </c>
      <c r="F530" s="5" t="s">
        <v>10</v>
      </c>
    </row>
    <row r="531" spans="1:6" ht="43.5">
      <c r="A531" s="1" t="s">
        <v>1593</v>
      </c>
      <c r="B531" s="4" t="s">
        <v>1594</v>
      </c>
      <c r="C531" s="3" t="s">
        <v>1595</v>
      </c>
      <c r="D531" s="5" t="s">
        <v>8</v>
      </c>
      <c r="E531" s="6">
        <f>VALUE(2999)</f>
        <v>2999</v>
      </c>
      <c r="F531" s="5" t="s">
        <v>10</v>
      </c>
    </row>
    <row r="532" spans="1:6" ht="43.5">
      <c r="A532" s="1" t="s">
        <v>1596</v>
      </c>
      <c r="B532" s="4" t="s">
        <v>1597</v>
      </c>
      <c r="C532" s="3" t="s">
        <v>1598</v>
      </c>
      <c r="D532" s="5" t="s">
        <v>8</v>
      </c>
      <c r="E532" s="6">
        <f>VALUE(2249.25)</f>
        <v>2249.25</v>
      </c>
      <c r="F532" s="5" t="s">
        <v>10</v>
      </c>
    </row>
    <row r="533" spans="1:6" ht="43.5">
      <c r="A533" s="1" t="s">
        <v>1599</v>
      </c>
      <c r="B533" s="4" t="s">
        <v>1600</v>
      </c>
      <c r="C533" s="3" t="s">
        <v>1601</v>
      </c>
      <c r="D533" s="5" t="s">
        <v>8</v>
      </c>
      <c r="E533" s="6">
        <f>VALUE(2264.25)</f>
        <v>2264.25</v>
      </c>
      <c r="F533" s="5" t="s">
        <v>10</v>
      </c>
    </row>
    <row r="534" spans="1:6" ht="43.5">
      <c r="A534" s="1" t="s">
        <v>1602</v>
      </c>
      <c r="B534" s="4" t="s">
        <v>1603</v>
      </c>
      <c r="C534" s="3" t="s">
        <v>1604</v>
      </c>
      <c r="D534" s="5" t="s">
        <v>8</v>
      </c>
      <c r="E534" s="6">
        <f>VALUE(3019)</f>
        <v>3019</v>
      </c>
      <c r="F534" s="5" t="s">
        <v>10</v>
      </c>
    </row>
    <row r="535" spans="1:6" ht="43.5">
      <c r="A535" s="1" t="s">
        <v>1605</v>
      </c>
      <c r="B535" s="4" t="s">
        <v>1606</v>
      </c>
      <c r="C535" s="3" t="s">
        <v>1607</v>
      </c>
      <c r="D535" s="5" t="s">
        <v>8</v>
      </c>
      <c r="E535" s="6">
        <f>VALUE(2264.25)</f>
        <v>2264.25</v>
      </c>
      <c r="F535" s="5" t="s">
        <v>10</v>
      </c>
    </row>
    <row r="536" spans="1:6" ht="43.5">
      <c r="A536" s="1" t="s">
        <v>1608</v>
      </c>
      <c r="B536" s="4" t="s">
        <v>1609</v>
      </c>
      <c r="C536" s="3" t="s">
        <v>1610</v>
      </c>
      <c r="D536" s="5" t="s">
        <v>8</v>
      </c>
      <c r="E536" s="6">
        <f>VALUE(9)</f>
        <v>9</v>
      </c>
      <c r="F536" s="5" t="s">
        <v>10</v>
      </c>
    </row>
    <row r="537" spans="1:6" ht="29">
      <c r="A537" s="1" t="s">
        <v>1611</v>
      </c>
      <c r="B537" s="4" t="s">
        <v>1612</v>
      </c>
      <c r="C537" s="3" t="s">
        <v>1613</v>
      </c>
      <c r="D537" s="5" t="s">
        <v>8</v>
      </c>
      <c r="E537" s="6">
        <f>VALUE(12)</f>
        <v>12</v>
      </c>
      <c r="F537" s="5" t="s">
        <v>10</v>
      </c>
    </row>
    <row r="538" spans="1:6" ht="29">
      <c r="A538" s="1" t="s">
        <v>1614</v>
      </c>
      <c r="B538" s="4" t="s">
        <v>1615</v>
      </c>
      <c r="C538" s="3" t="s">
        <v>1616</v>
      </c>
      <c r="D538" s="5" t="s">
        <v>8</v>
      </c>
      <c r="E538" s="6">
        <f>VALUE(9)</f>
        <v>9</v>
      </c>
      <c r="F538" s="5" t="s">
        <v>10</v>
      </c>
    </row>
    <row r="539" spans="1:6" ht="43.5">
      <c r="A539" s="1" t="s">
        <v>1617</v>
      </c>
      <c r="B539" s="4" t="s">
        <v>1618</v>
      </c>
      <c r="C539" s="3" t="s">
        <v>1619</v>
      </c>
      <c r="D539" s="5" t="s">
        <v>8</v>
      </c>
      <c r="E539" s="6">
        <f>VALUE(9)</f>
        <v>9</v>
      </c>
      <c r="F539" s="5" t="s">
        <v>10</v>
      </c>
    </row>
    <row r="540" spans="1:6" ht="29">
      <c r="A540" s="1" t="s">
        <v>1620</v>
      </c>
      <c r="B540" s="4" t="s">
        <v>1621</v>
      </c>
      <c r="C540" s="3" t="s">
        <v>1622</v>
      </c>
      <c r="D540" s="5" t="s">
        <v>8</v>
      </c>
      <c r="E540" s="6">
        <f>VALUE(12)</f>
        <v>12</v>
      </c>
      <c r="F540" s="5" t="s">
        <v>10</v>
      </c>
    </row>
    <row r="541" spans="1:6" ht="29">
      <c r="A541" s="1" t="s">
        <v>1623</v>
      </c>
      <c r="B541" s="4" t="s">
        <v>1624</v>
      </c>
      <c r="C541" s="3" t="s">
        <v>1625</v>
      </c>
      <c r="D541" s="5" t="s">
        <v>8</v>
      </c>
      <c r="E541" s="6">
        <f>VALUE(9)</f>
        <v>9</v>
      </c>
      <c r="F541" s="5" t="s">
        <v>10</v>
      </c>
    </row>
    <row r="542" spans="1:6" ht="43.5">
      <c r="A542" s="1" t="s">
        <v>1626</v>
      </c>
      <c r="B542" s="4" t="s">
        <v>1627</v>
      </c>
      <c r="C542" s="3" t="s">
        <v>1628</v>
      </c>
      <c r="D542" s="5" t="s">
        <v>8</v>
      </c>
      <c r="E542" s="6">
        <f>VALUE(9)</f>
        <v>9</v>
      </c>
      <c r="F542" s="5" t="s">
        <v>10</v>
      </c>
    </row>
    <row r="543" spans="1:6" ht="29">
      <c r="A543" s="1" t="s">
        <v>1629</v>
      </c>
      <c r="B543" s="4" t="s">
        <v>1630</v>
      </c>
      <c r="C543" s="3" t="s">
        <v>1631</v>
      </c>
      <c r="D543" s="5" t="s">
        <v>8</v>
      </c>
      <c r="E543" s="6">
        <f>VALUE(12)</f>
        <v>12</v>
      </c>
      <c r="F543" s="5" t="s">
        <v>10</v>
      </c>
    </row>
    <row r="544" spans="1:6" ht="29">
      <c r="A544" s="1" t="s">
        <v>1632</v>
      </c>
      <c r="B544" s="4" t="s">
        <v>1633</v>
      </c>
      <c r="C544" s="3" t="s">
        <v>1634</v>
      </c>
      <c r="D544" s="5" t="s">
        <v>8</v>
      </c>
      <c r="E544" s="6">
        <f>VALUE(9)</f>
        <v>9</v>
      </c>
      <c r="F544" s="5" t="s">
        <v>10</v>
      </c>
    </row>
    <row r="545" spans="1:6" ht="43.5">
      <c r="A545" s="1" t="s">
        <v>1635</v>
      </c>
      <c r="B545" s="4" t="s">
        <v>1636</v>
      </c>
      <c r="C545" s="3" t="s">
        <v>1637</v>
      </c>
      <c r="D545" s="5" t="s">
        <v>8</v>
      </c>
      <c r="E545" s="6">
        <f>VALUE(9)</f>
        <v>9</v>
      </c>
      <c r="F545" s="5" t="s">
        <v>10</v>
      </c>
    </row>
    <row r="546" spans="1:6" ht="29">
      <c r="A546" s="1" t="s">
        <v>1638</v>
      </c>
      <c r="B546" s="4" t="s">
        <v>1639</v>
      </c>
      <c r="C546" s="3" t="s">
        <v>1640</v>
      </c>
      <c r="D546" s="5" t="s">
        <v>8</v>
      </c>
      <c r="E546" s="6">
        <f>VALUE(12)</f>
        <v>12</v>
      </c>
      <c r="F546" s="5" t="s">
        <v>10</v>
      </c>
    </row>
    <row r="547" spans="1:6" ht="43.5">
      <c r="A547" s="1" t="s">
        <v>1641</v>
      </c>
      <c r="B547" s="4" t="s">
        <v>1642</v>
      </c>
      <c r="C547" s="3" t="s">
        <v>1643</v>
      </c>
      <c r="D547" s="5" t="s">
        <v>8</v>
      </c>
      <c r="E547" s="6">
        <f>VALUE(599.25)</f>
        <v>599.25</v>
      </c>
      <c r="F547" s="5" t="s">
        <v>10</v>
      </c>
    </row>
    <row r="548" spans="1:6" ht="29">
      <c r="A548" s="1" t="s">
        <v>1644</v>
      </c>
      <c r="B548" s="4" t="s">
        <v>1645</v>
      </c>
      <c r="C548" s="3" t="s">
        <v>1646</v>
      </c>
      <c r="D548" s="5" t="s">
        <v>8</v>
      </c>
      <c r="E548" s="6">
        <f>VALUE(749.25)</f>
        <v>749.25</v>
      </c>
      <c r="F548" s="5" t="s">
        <v>10</v>
      </c>
    </row>
    <row r="549" spans="1:6" ht="29">
      <c r="A549" s="1" t="s">
        <v>1647</v>
      </c>
      <c r="B549" s="4" t="s">
        <v>1648</v>
      </c>
      <c r="C549" s="3" t="s">
        <v>1649</v>
      </c>
      <c r="D549" s="5" t="s">
        <v>8</v>
      </c>
      <c r="E549" s="6">
        <f>VALUE(999)</f>
        <v>999</v>
      </c>
      <c r="F549" s="5" t="s">
        <v>10</v>
      </c>
    </row>
    <row r="550" spans="1:6" ht="29">
      <c r="A550" s="1" t="s">
        <v>1650</v>
      </c>
      <c r="B550" s="4" t="s">
        <v>1651</v>
      </c>
      <c r="C550" s="3" t="s">
        <v>1652</v>
      </c>
      <c r="D550" s="5" t="s">
        <v>8</v>
      </c>
      <c r="E550" s="6">
        <f>VALUE(749.25)</f>
        <v>749.25</v>
      </c>
      <c r="F550" s="5" t="s">
        <v>10</v>
      </c>
    </row>
    <row r="551" spans="1:6" ht="29">
      <c r="A551" s="1" t="s">
        <v>1653</v>
      </c>
      <c r="B551" s="4" t="s">
        <v>1654</v>
      </c>
      <c r="C551" s="3" t="s">
        <v>1655</v>
      </c>
      <c r="D551" s="5" t="s">
        <v>8</v>
      </c>
      <c r="E551" s="6">
        <f>VALUE(449.25)</f>
        <v>449.25</v>
      </c>
      <c r="F551" s="5" t="s">
        <v>10</v>
      </c>
    </row>
    <row r="552" spans="1:6" ht="29">
      <c r="A552" s="1" t="s">
        <v>1656</v>
      </c>
      <c r="B552" s="4" t="s">
        <v>1657</v>
      </c>
      <c r="C552" s="3" t="s">
        <v>1658</v>
      </c>
      <c r="D552" s="5" t="s">
        <v>8</v>
      </c>
      <c r="E552" s="6">
        <f>VALUE(599)</f>
        <v>599</v>
      </c>
      <c r="F552" s="5" t="s">
        <v>10</v>
      </c>
    </row>
    <row r="553" spans="1:6" ht="29">
      <c r="A553" s="1" t="s">
        <v>1659</v>
      </c>
      <c r="B553" s="4" t="s">
        <v>1660</v>
      </c>
      <c r="C553" s="3" t="s">
        <v>1661</v>
      </c>
      <c r="D553" s="5" t="s">
        <v>8</v>
      </c>
      <c r="E553" s="6">
        <f>VALUE(449.25)</f>
        <v>449.25</v>
      </c>
      <c r="F553" s="5" t="s">
        <v>10</v>
      </c>
    </row>
    <row r="554" spans="1:6" ht="43.5">
      <c r="A554" s="1" t="s">
        <v>1662</v>
      </c>
      <c r="B554" s="4" t="s">
        <v>1663</v>
      </c>
      <c r="C554" s="3" t="s">
        <v>1664</v>
      </c>
      <c r="D554" s="5" t="s">
        <v>8</v>
      </c>
      <c r="E554" s="6">
        <f>VALUE(299.25)</f>
        <v>299.25</v>
      </c>
      <c r="F554" s="5" t="s">
        <v>10</v>
      </c>
    </row>
    <row r="555" spans="1:6" ht="43.5">
      <c r="A555" s="1" t="s">
        <v>1665</v>
      </c>
      <c r="B555" s="4" t="s">
        <v>1666</v>
      </c>
      <c r="C555" s="3" t="s">
        <v>1667</v>
      </c>
      <c r="D555" s="5" t="s">
        <v>8</v>
      </c>
      <c r="E555" s="6">
        <f>VALUE(399)</f>
        <v>399</v>
      </c>
      <c r="F555" s="5" t="s">
        <v>10</v>
      </c>
    </row>
    <row r="556" spans="1:6" ht="43.5">
      <c r="A556" s="1" t="s">
        <v>1668</v>
      </c>
      <c r="B556" s="4" t="s">
        <v>1669</v>
      </c>
      <c r="C556" s="3" t="s">
        <v>1670</v>
      </c>
      <c r="D556" s="5" t="s">
        <v>8</v>
      </c>
      <c r="E556" s="6">
        <f>VALUE(299.25)</f>
        <v>299.25</v>
      </c>
      <c r="F556" s="5" t="s">
        <v>10</v>
      </c>
    </row>
    <row r="557" spans="1:6" ht="43.5">
      <c r="A557" s="1" t="s">
        <v>1671</v>
      </c>
      <c r="B557" s="4" t="s">
        <v>1672</v>
      </c>
      <c r="C557" s="3" t="s">
        <v>1673</v>
      </c>
      <c r="D557" s="5" t="s">
        <v>8</v>
      </c>
      <c r="E557" s="6">
        <f>VALUE(2249.25)</f>
        <v>2249.25</v>
      </c>
      <c r="F557" s="5" t="s">
        <v>10</v>
      </c>
    </row>
    <row r="558" spans="1:6" ht="43.5">
      <c r="A558" s="1" t="s">
        <v>1674</v>
      </c>
      <c r="B558" s="4" t="s">
        <v>1675</v>
      </c>
      <c r="C558" s="3" t="s">
        <v>1676</v>
      </c>
      <c r="D558" s="5" t="s">
        <v>8</v>
      </c>
      <c r="E558" s="6">
        <f>VALUE(2999)</f>
        <v>2999</v>
      </c>
      <c r="F558" s="5" t="s">
        <v>10</v>
      </c>
    </row>
    <row r="559" spans="1:6" ht="43.5">
      <c r="A559" s="1" t="s">
        <v>1677</v>
      </c>
      <c r="B559" s="4" t="s">
        <v>1678</v>
      </c>
      <c r="C559" s="3" t="s">
        <v>1679</v>
      </c>
      <c r="D559" s="5" t="s">
        <v>8</v>
      </c>
      <c r="E559" s="6">
        <f>VALUE(2249.25)</f>
        <v>2249.25</v>
      </c>
      <c r="F559" s="5" t="s">
        <v>10</v>
      </c>
    </row>
    <row r="560" spans="1:6" ht="43.5">
      <c r="A560" s="1" t="s">
        <v>1680</v>
      </c>
      <c r="B560" s="4" t="s">
        <v>1681</v>
      </c>
      <c r="C560" s="3" t="s">
        <v>1682</v>
      </c>
      <c r="D560" s="5" t="s">
        <v>8</v>
      </c>
      <c r="E560" s="6">
        <f>VALUE(749.25)</f>
        <v>749.25</v>
      </c>
      <c r="F560" s="5" t="s">
        <v>10</v>
      </c>
    </row>
    <row r="561" spans="1:6" ht="43.5">
      <c r="A561" s="1" t="s">
        <v>1683</v>
      </c>
      <c r="B561" s="4" t="s">
        <v>1684</v>
      </c>
      <c r="C561" s="3" t="s">
        <v>1685</v>
      </c>
      <c r="D561" s="5" t="s">
        <v>8</v>
      </c>
      <c r="E561" s="6">
        <f>VALUE(999)</f>
        <v>999</v>
      </c>
      <c r="F561" s="5" t="s">
        <v>10</v>
      </c>
    </row>
    <row r="562" spans="1:6" ht="43.5">
      <c r="A562" s="1" t="s">
        <v>1686</v>
      </c>
      <c r="B562" s="4" t="s">
        <v>1687</v>
      </c>
      <c r="C562" s="3" t="s">
        <v>1688</v>
      </c>
      <c r="D562" s="5" t="s">
        <v>8</v>
      </c>
      <c r="E562" s="6">
        <f>VALUE(749.25)</f>
        <v>749.25</v>
      </c>
      <c r="F562" s="5" t="s">
        <v>10</v>
      </c>
    </row>
    <row r="563" spans="1:6" ht="43.5">
      <c r="A563" s="1" t="s">
        <v>1689</v>
      </c>
      <c r="B563" s="4" t="s">
        <v>1690</v>
      </c>
      <c r="C563" s="3" t="s">
        <v>1691</v>
      </c>
      <c r="D563" s="5" t="s">
        <v>8</v>
      </c>
      <c r="E563" s="6">
        <f>VALUE(2249.25)</f>
        <v>2249.25</v>
      </c>
      <c r="F563" s="5" t="s">
        <v>10</v>
      </c>
    </row>
    <row r="564" spans="1:6" ht="43.5">
      <c r="A564" s="1" t="s">
        <v>1692</v>
      </c>
      <c r="B564" s="4" t="s">
        <v>1693</v>
      </c>
      <c r="C564" s="3" t="s">
        <v>1694</v>
      </c>
      <c r="D564" s="5" t="s">
        <v>8</v>
      </c>
      <c r="E564" s="6">
        <f>VALUE(2999)</f>
        <v>2999</v>
      </c>
      <c r="F564" s="5" t="s">
        <v>10</v>
      </c>
    </row>
    <row r="565" spans="1:6" ht="43.5">
      <c r="A565" s="1" t="s">
        <v>1695</v>
      </c>
      <c r="B565" s="4" t="s">
        <v>1696</v>
      </c>
      <c r="C565" s="3" t="s">
        <v>1697</v>
      </c>
      <c r="D565" s="5" t="s">
        <v>8</v>
      </c>
      <c r="E565" s="6">
        <f>VALUE(2249.25)</f>
        <v>2249.25</v>
      </c>
      <c r="F565" s="5" t="s">
        <v>10</v>
      </c>
    </row>
    <row r="566" spans="1:6" ht="43.5">
      <c r="A566" s="1" t="s">
        <v>1698</v>
      </c>
      <c r="B566" s="4" t="s">
        <v>1699</v>
      </c>
      <c r="C566" s="3" t="s">
        <v>1700</v>
      </c>
      <c r="D566" s="5" t="s">
        <v>8</v>
      </c>
      <c r="E566" s="6">
        <f>VALUE(2999.25)</f>
        <v>2999.25</v>
      </c>
      <c r="F566" s="5" t="s">
        <v>10</v>
      </c>
    </row>
    <row r="567" spans="1:6" ht="43.5">
      <c r="A567" s="1" t="s">
        <v>1701</v>
      </c>
      <c r="B567" s="4" t="s">
        <v>1702</v>
      </c>
      <c r="C567" s="3" t="s">
        <v>1703</v>
      </c>
      <c r="D567" s="5" t="s">
        <v>8</v>
      </c>
      <c r="E567" s="6">
        <f>VALUE(3999)</f>
        <v>3999</v>
      </c>
      <c r="F567" s="5" t="s">
        <v>10</v>
      </c>
    </row>
    <row r="568" spans="1:6" ht="43.5">
      <c r="A568" s="1" t="s">
        <v>1704</v>
      </c>
      <c r="B568" s="4" t="s">
        <v>1705</v>
      </c>
      <c r="C568" s="3" t="s">
        <v>1706</v>
      </c>
      <c r="D568" s="5" t="s">
        <v>8</v>
      </c>
      <c r="E568" s="6">
        <f>VALUE(2999.25)</f>
        <v>2999.25</v>
      </c>
      <c r="F568" s="5" t="s">
        <v>10</v>
      </c>
    </row>
    <row r="569" spans="1:6" ht="43.5">
      <c r="A569" s="1" t="s">
        <v>1707</v>
      </c>
      <c r="B569" s="4" t="s">
        <v>1708</v>
      </c>
      <c r="C569" s="3" t="s">
        <v>1709</v>
      </c>
      <c r="D569" s="5" t="s">
        <v>8</v>
      </c>
      <c r="E569" s="6">
        <f>VALUE(2999.25)</f>
        <v>2999.25</v>
      </c>
      <c r="F569" s="5" t="s">
        <v>10</v>
      </c>
    </row>
    <row r="570" spans="1:6" ht="43.5">
      <c r="A570" s="1" t="s">
        <v>1710</v>
      </c>
      <c r="B570" s="4" t="s">
        <v>1711</v>
      </c>
      <c r="C570" s="3" t="s">
        <v>1712</v>
      </c>
      <c r="D570" s="5" t="s">
        <v>8</v>
      </c>
      <c r="E570" s="6">
        <f>VALUE(3999)</f>
        <v>3999</v>
      </c>
      <c r="F570" s="5" t="s">
        <v>10</v>
      </c>
    </row>
    <row r="571" spans="1:6" ht="43.5">
      <c r="A571" s="1" t="s">
        <v>1713</v>
      </c>
      <c r="B571" s="4" t="s">
        <v>1714</v>
      </c>
      <c r="C571" s="3" t="s">
        <v>1715</v>
      </c>
      <c r="D571" s="5" t="s">
        <v>8</v>
      </c>
      <c r="E571" s="6">
        <f>VALUE(2999.25)</f>
        <v>2999.25</v>
      </c>
      <c r="F571" s="5" t="s">
        <v>10</v>
      </c>
    </row>
    <row r="572" spans="1:6" ht="29">
      <c r="A572" s="1" t="s">
        <v>1716</v>
      </c>
      <c r="B572" s="4" t="s">
        <v>1717</v>
      </c>
      <c r="C572" s="3" t="s">
        <v>1718</v>
      </c>
      <c r="D572" s="5" t="s">
        <v>8</v>
      </c>
      <c r="E572" s="6">
        <f>VALUE(9)</f>
        <v>9</v>
      </c>
      <c r="F572" s="5" t="s">
        <v>10</v>
      </c>
    </row>
    <row r="573" spans="1:6" ht="29">
      <c r="A573" s="1" t="s">
        <v>1719</v>
      </c>
      <c r="B573" s="4" t="s">
        <v>1720</v>
      </c>
      <c r="C573" s="3" t="s">
        <v>1721</v>
      </c>
      <c r="D573" s="5" t="s">
        <v>8</v>
      </c>
      <c r="E573" s="6">
        <f>VALUE(1.8)</f>
        <v>1.8</v>
      </c>
      <c r="F573" s="5" t="s">
        <v>10</v>
      </c>
    </row>
    <row r="574" spans="1:6" ht="29">
      <c r="A574" s="1" t="s">
        <v>1722</v>
      </c>
      <c r="B574" s="4" t="s">
        <v>1723</v>
      </c>
      <c r="C574" s="3" t="s">
        <v>1724</v>
      </c>
      <c r="D574" s="5" t="s">
        <v>8</v>
      </c>
      <c r="E574" s="6">
        <f>VALUE(2.4)</f>
        <v>2.4</v>
      </c>
      <c r="F574" s="5" t="s">
        <v>10</v>
      </c>
    </row>
    <row r="575" spans="1:6" ht="29">
      <c r="A575" s="1" t="s">
        <v>1725</v>
      </c>
      <c r="B575" s="4" t="s">
        <v>1726</v>
      </c>
      <c r="C575" s="3" t="s">
        <v>1727</v>
      </c>
      <c r="D575" s="5" t="s">
        <v>8</v>
      </c>
      <c r="E575" s="6">
        <f>VALUE(1.8)</f>
        <v>1.8</v>
      </c>
      <c r="F575" s="5" t="s">
        <v>10</v>
      </c>
    </row>
    <row r="576" spans="1:6" ht="29">
      <c r="A576" s="1" t="s">
        <v>1728</v>
      </c>
      <c r="B576" s="4" t="s">
        <v>1729</v>
      </c>
      <c r="C576" s="3" t="s">
        <v>1730</v>
      </c>
      <c r="D576" s="5" t="s">
        <v>8</v>
      </c>
      <c r="E576" s="6">
        <f>VALUE(2.25)</f>
        <v>2.25</v>
      </c>
      <c r="F576" s="5" t="s">
        <v>10</v>
      </c>
    </row>
    <row r="577" spans="1:6" ht="29">
      <c r="A577" s="1" t="s">
        <v>1731</v>
      </c>
      <c r="B577" s="4" t="s">
        <v>1732</v>
      </c>
      <c r="C577" s="3" t="s">
        <v>1733</v>
      </c>
      <c r="D577" s="5" t="s">
        <v>8</v>
      </c>
      <c r="E577" s="6">
        <f>VALUE(3)</f>
        <v>3</v>
      </c>
      <c r="F577" s="5" t="s">
        <v>10</v>
      </c>
    </row>
    <row r="578" spans="1:6" ht="29">
      <c r="A578" s="1" t="s">
        <v>1734</v>
      </c>
      <c r="B578" s="4" t="s">
        <v>1735</v>
      </c>
      <c r="C578" s="3" t="s">
        <v>1736</v>
      </c>
      <c r="D578" s="5" t="s">
        <v>8</v>
      </c>
      <c r="E578" s="6">
        <f>VALUE(2.25)</f>
        <v>2.25</v>
      </c>
      <c r="F578" s="5" t="s">
        <v>10</v>
      </c>
    </row>
    <row r="579" spans="1:6" ht="29">
      <c r="A579" s="1" t="s">
        <v>1737</v>
      </c>
      <c r="B579" s="4" t="s">
        <v>1738</v>
      </c>
      <c r="C579" s="3" t="s">
        <v>1739</v>
      </c>
      <c r="D579" s="5" t="s">
        <v>8</v>
      </c>
      <c r="E579" s="6">
        <f>VALUE(2.25)</f>
        <v>2.25</v>
      </c>
      <c r="F579" s="5" t="s">
        <v>10</v>
      </c>
    </row>
    <row r="580" spans="1:6" ht="29">
      <c r="A580" s="1" t="s">
        <v>1740</v>
      </c>
      <c r="B580" s="4" t="s">
        <v>1741</v>
      </c>
      <c r="C580" s="3" t="s">
        <v>1742</v>
      </c>
      <c r="D580" s="5" t="s">
        <v>8</v>
      </c>
      <c r="E580" s="6">
        <f>VALUE(3)</f>
        <v>3</v>
      </c>
      <c r="F580" s="5" t="s">
        <v>10</v>
      </c>
    </row>
    <row r="581" spans="1:6" ht="29">
      <c r="A581" s="1" t="s">
        <v>1743</v>
      </c>
      <c r="B581" s="4" t="s">
        <v>1744</v>
      </c>
      <c r="C581" s="3" t="s">
        <v>1745</v>
      </c>
      <c r="D581" s="5" t="s">
        <v>8</v>
      </c>
      <c r="E581" s="6">
        <f>VALUE(2.25)</f>
        <v>2.25</v>
      </c>
      <c r="F581" s="5" t="s">
        <v>10</v>
      </c>
    </row>
    <row r="582" spans="1:6" ht="29">
      <c r="A582" s="1" t="s">
        <v>1746</v>
      </c>
      <c r="B582" s="4" t="s">
        <v>1747</v>
      </c>
      <c r="C582" s="3" t="s">
        <v>1748</v>
      </c>
      <c r="D582" s="5" t="s">
        <v>8</v>
      </c>
      <c r="E582" s="6">
        <f>VALUE(2.25)</f>
        <v>2.25</v>
      </c>
      <c r="F582" s="5" t="s">
        <v>10</v>
      </c>
    </row>
    <row r="583" spans="1:6" ht="29">
      <c r="A583" s="1" t="s">
        <v>1749</v>
      </c>
      <c r="B583" s="4" t="s">
        <v>1750</v>
      </c>
      <c r="C583" s="3" t="s">
        <v>1751</v>
      </c>
      <c r="D583" s="5" t="s">
        <v>8</v>
      </c>
      <c r="E583" s="6">
        <f>VALUE(3)</f>
        <v>3</v>
      </c>
      <c r="F583" s="5" t="s">
        <v>10</v>
      </c>
    </row>
    <row r="584" spans="1:6" ht="29">
      <c r="A584" s="1" t="s">
        <v>1752</v>
      </c>
      <c r="B584" s="4" t="s">
        <v>1753</v>
      </c>
      <c r="C584" s="3" t="s">
        <v>1754</v>
      </c>
      <c r="D584" s="5" t="s">
        <v>8</v>
      </c>
      <c r="E584" s="6">
        <f>VALUE(2.25)</f>
        <v>2.25</v>
      </c>
      <c r="F584" s="5" t="s">
        <v>10</v>
      </c>
    </row>
    <row r="585" spans="1:6" ht="29">
      <c r="A585" s="1" t="s">
        <v>1755</v>
      </c>
      <c r="B585" s="4" t="s">
        <v>1756</v>
      </c>
      <c r="C585" s="3" t="s">
        <v>1757</v>
      </c>
      <c r="D585" s="5" t="s">
        <v>8</v>
      </c>
      <c r="E585" s="6">
        <f>VALUE(8000)</f>
        <v>8000</v>
      </c>
      <c r="F585" s="5" t="s">
        <v>10</v>
      </c>
    </row>
    <row r="586" spans="1:6" ht="29">
      <c r="A586" s="1" t="s">
        <v>1758</v>
      </c>
      <c r="B586" s="4" t="s">
        <v>1759</v>
      </c>
      <c r="C586" s="3" t="s">
        <v>1760</v>
      </c>
      <c r="D586" s="5" t="s">
        <v>8</v>
      </c>
      <c r="E586" s="6">
        <f>VALUE(6000)</f>
        <v>6000</v>
      </c>
      <c r="F586" s="5" t="s">
        <v>10</v>
      </c>
    </row>
    <row r="587" spans="1:6" ht="43.5">
      <c r="A587" s="1" t="s">
        <v>1761</v>
      </c>
      <c r="B587" s="4" t="s">
        <v>1762</v>
      </c>
      <c r="C587" s="3" t="s">
        <v>1763</v>
      </c>
      <c r="D587" s="5" t="s">
        <v>8</v>
      </c>
      <c r="E587" s="6">
        <f>VALUE(5400)</f>
        <v>5400</v>
      </c>
      <c r="F587" s="5" t="s">
        <v>10</v>
      </c>
    </row>
    <row r="588" spans="1:6" ht="29">
      <c r="A588" s="1" t="s">
        <v>1764</v>
      </c>
      <c r="B588" s="4" t="s">
        <v>1765</v>
      </c>
      <c r="C588" s="3" t="s">
        <v>1766</v>
      </c>
      <c r="D588" s="5" t="s">
        <v>8</v>
      </c>
      <c r="E588" s="6">
        <f>VALUE(7200)</f>
        <v>7200</v>
      </c>
      <c r="F588" s="5" t="s">
        <v>10</v>
      </c>
    </row>
    <row r="589" spans="1:6" ht="29">
      <c r="A589" s="1" t="s">
        <v>1767</v>
      </c>
      <c r="B589" s="4" t="s">
        <v>1768</v>
      </c>
      <c r="C589" s="3" t="s">
        <v>1769</v>
      </c>
      <c r="D589" s="5" t="s">
        <v>8</v>
      </c>
      <c r="E589" s="6">
        <f>VALUE(5400)</f>
        <v>5400</v>
      </c>
      <c r="F589" s="5" t="s">
        <v>10</v>
      </c>
    </row>
    <row r="590" spans="1:6" ht="43.5">
      <c r="A590" s="1" t="s">
        <v>1770</v>
      </c>
      <c r="B590" s="4" t="s">
        <v>1771</v>
      </c>
      <c r="C590" s="3" t="s">
        <v>1772</v>
      </c>
      <c r="D590" s="5" t="s">
        <v>8</v>
      </c>
      <c r="E590" s="6">
        <f>VALUE(7500)</f>
        <v>7500</v>
      </c>
      <c r="F590" s="5" t="s">
        <v>10</v>
      </c>
    </row>
    <row r="591" spans="1:6" ht="29">
      <c r="A591" s="1" t="s">
        <v>1773</v>
      </c>
      <c r="B591" s="4" t="s">
        <v>1774</v>
      </c>
      <c r="C591" s="3" t="s">
        <v>1775</v>
      </c>
      <c r="D591" s="5" t="s">
        <v>8</v>
      </c>
      <c r="E591" s="6">
        <f>VALUE(10000)</f>
        <v>10000</v>
      </c>
      <c r="F591" s="5" t="s">
        <v>10</v>
      </c>
    </row>
    <row r="592" spans="1:6" ht="29">
      <c r="A592" s="1" t="s">
        <v>1776</v>
      </c>
      <c r="B592" s="4" t="s">
        <v>1777</v>
      </c>
      <c r="C592" s="3" t="s">
        <v>1778</v>
      </c>
      <c r="D592" s="5" t="s">
        <v>8</v>
      </c>
      <c r="E592" s="6">
        <f>VALUE(7500)</f>
        <v>7500</v>
      </c>
      <c r="F592" s="5" t="s">
        <v>10</v>
      </c>
    </row>
    <row r="593" spans="1:6" ht="29">
      <c r="A593" s="1" t="s">
        <v>1779</v>
      </c>
      <c r="B593" s="4" t="s">
        <v>1780</v>
      </c>
      <c r="C593" s="3" t="s">
        <v>1781</v>
      </c>
      <c r="D593" s="5" t="s">
        <v>8</v>
      </c>
      <c r="E593" s="6">
        <f>VALUE(3150)</f>
        <v>3150</v>
      </c>
      <c r="F593" s="5" t="s">
        <v>10</v>
      </c>
    </row>
    <row r="594" spans="1:6" ht="29">
      <c r="A594" s="1" t="s">
        <v>1782</v>
      </c>
      <c r="B594" s="4" t="s">
        <v>1783</v>
      </c>
      <c r="C594" s="3" t="s">
        <v>1784</v>
      </c>
      <c r="D594" s="5" t="s">
        <v>8</v>
      </c>
      <c r="E594" s="6">
        <f>VALUE(4200)</f>
        <v>4200</v>
      </c>
      <c r="F594" s="5" t="s">
        <v>10</v>
      </c>
    </row>
    <row r="595" spans="1:6" ht="29">
      <c r="A595" s="1" t="s">
        <v>1785</v>
      </c>
      <c r="B595" s="4" t="s">
        <v>1786</v>
      </c>
      <c r="C595" s="3" t="s">
        <v>1787</v>
      </c>
      <c r="D595" s="5" t="s">
        <v>8</v>
      </c>
      <c r="E595" s="6">
        <f>VALUE(3150)</f>
        <v>3150</v>
      </c>
      <c r="F595" s="5" t="s">
        <v>10</v>
      </c>
    </row>
    <row r="596" spans="1:6" ht="43.5">
      <c r="A596" s="1" t="s">
        <v>1788</v>
      </c>
      <c r="B596" s="4" t="s">
        <v>1789</v>
      </c>
      <c r="C596" s="3" t="s">
        <v>1790</v>
      </c>
      <c r="D596" s="5" t="s">
        <v>8</v>
      </c>
      <c r="E596" s="6">
        <f>VALUE(299.25)</f>
        <v>299.25</v>
      </c>
      <c r="F596" s="5" t="s">
        <v>10</v>
      </c>
    </row>
    <row r="597" spans="1:6" ht="29">
      <c r="A597" s="1" t="s">
        <v>1791</v>
      </c>
      <c r="B597" s="4" t="s">
        <v>1792</v>
      </c>
      <c r="C597" s="3" t="s">
        <v>1793</v>
      </c>
      <c r="D597" s="5" t="s">
        <v>8</v>
      </c>
      <c r="E597" s="6">
        <f>VALUE(399)</f>
        <v>399</v>
      </c>
      <c r="F597" s="5" t="s">
        <v>10</v>
      </c>
    </row>
    <row r="598" spans="1:6" ht="29">
      <c r="A598" s="1" t="s">
        <v>1794</v>
      </c>
      <c r="B598" s="4" t="s">
        <v>1795</v>
      </c>
      <c r="C598" s="3" t="s">
        <v>1796</v>
      </c>
      <c r="D598" s="5" t="s">
        <v>8</v>
      </c>
      <c r="E598" s="6">
        <f>VALUE(299.25)</f>
        <v>299.25</v>
      </c>
      <c r="F598" s="5" t="s">
        <v>10</v>
      </c>
    </row>
    <row r="599" spans="1:6" ht="43.5">
      <c r="A599" s="1" t="s">
        <v>1797</v>
      </c>
      <c r="B599" s="4" t="s">
        <v>1798</v>
      </c>
      <c r="C599" s="3" t="s">
        <v>1799</v>
      </c>
      <c r="D599" s="5" t="s">
        <v>8</v>
      </c>
      <c r="E599" s="6">
        <f>VALUE(2249.25)</f>
        <v>2249.25</v>
      </c>
      <c r="F599" s="5" t="s">
        <v>10</v>
      </c>
    </row>
    <row r="600" spans="1:6" ht="29">
      <c r="A600" s="1" t="s">
        <v>1800</v>
      </c>
      <c r="B600" s="4" t="s">
        <v>1801</v>
      </c>
      <c r="C600" s="3" t="s">
        <v>1802</v>
      </c>
      <c r="D600" s="5" t="s">
        <v>8</v>
      </c>
      <c r="E600" s="6">
        <f>VALUE(2999)</f>
        <v>2999</v>
      </c>
      <c r="F600" s="5" t="s">
        <v>10</v>
      </c>
    </row>
    <row r="601" spans="1:6" ht="29">
      <c r="A601" s="1" t="s">
        <v>1803</v>
      </c>
      <c r="B601" s="4" t="s">
        <v>1804</v>
      </c>
      <c r="C601" s="3" t="s">
        <v>1805</v>
      </c>
      <c r="D601" s="5" t="s">
        <v>8</v>
      </c>
      <c r="E601" s="6">
        <f>VALUE(2249.25)</f>
        <v>2249.25</v>
      </c>
      <c r="F601" s="5" t="s">
        <v>10</v>
      </c>
    </row>
    <row r="602" spans="1:6" ht="43.5">
      <c r="A602" s="1" t="s">
        <v>1806</v>
      </c>
      <c r="B602" s="4" t="s">
        <v>1807</v>
      </c>
      <c r="C602" s="3" t="s">
        <v>1808</v>
      </c>
      <c r="D602" s="5" t="s">
        <v>8</v>
      </c>
      <c r="E602" s="6">
        <f>VALUE(4499.25)</f>
        <v>4499.25</v>
      </c>
      <c r="F602" s="5" t="s">
        <v>10</v>
      </c>
    </row>
    <row r="603" spans="1:6" ht="43.5">
      <c r="A603" s="1" t="s">
        <v>1809</v>
      </c>
      <c r="B603" s="4" t="s">
        <v>1810</v>
      </c>
      <c r="C603" s="3" t="s">
        <v>1811</v>
      </c>
      <c r="D603" s="5" t="s">
        <v>8</v>
      </c>
      <c r="E603" s="6">
        <f>VALUE(5999)</f>
        <v>5999</v>
      </c>
      <c r="F603" s="5" t="s">
        <v>10</v>
      </c>
    </row>
    <row r="604" spans="1:6" ht="43.5">
      <c r="A604" s="1" t="s">
        <v>1812</v>
      </c>
      <c r="B604" s="4" t="s">
        <v>1813</v>
      </c>
      <c r="C604" s="3" t="s">
        <v>1814</v>
      </c>
      <c r="D604" s="5" t="s">
        <v>8</v>
      </c>
      <c r="E604" s="6">
        <f>VALUE(4499.25)</f>
        <v>4499.25</v>
      </c>
      <c r="F604" s="5" t="s">
        <v>10</v>
      </c>
    </row>
    <row r="605" spans="1:6" ht="43.5">
      <c r="A605" s="1" t="s">
        <v>1815</v>
      </c>
      <c r="B605" s="4" t="s">
        <v>1816</v>
      </c>
      <c r="C605" s="3" t="s">
        <v>1817</v>
      </c>
      <c r="D605" s="5" t="s">
        <v>8</v>
      </c>
      <c r="E605" s="6">
        <f>VALUE(5999.25)</f>
        <v>5999.25</v>
      </c>
      <c r="F605" s="5" t="s">
        <v>10</v>
      </c>
    </row>
    <row r="606" spans="1:6" ht="43.5">
      <c r="A606" s="1" t="s">
        <v>1818</v>
      </c>
      <c r="B606" s="4" t="s">
        <v>1819</v>
      </c>
      <c r="C606" s="3" t="s">
        <v>1820</v>
      </c>
      <c r="D606" s="5" t="s">
        <v>8</v>
      </c>
      <c r="E606" s="6">
        <f>VALUE(7999)</f>
        <v>7999</v>
      </c>
      <c r="F606" s="5" t="s">
        <v>10</v>
      </c>
    </row>
    <row r="607" spans="1:6" ht="43.5">
      <c r="A607" s="1" t="s">
        <v>1821</v>
      </c>
      <c r="B607" s="4" t="s">
        <v>1822</v>
      </c>
      <c r="C607" s="3" t="s">
        <v>1823</v>
      </c>
      <c r="D607" s="5" t="s">
        <v>8</v>
      </c>
      <c r="E607" s="6">
        <f>VALUE(5999.25)</f>
        <v>5999.25</v>
      </c>
      <c r="F607" s="5" t="s">
        <v>10</v>
      </c>
    </row>
    <row r="608" spans="1:6" ht="43.5">
      <c r="A608" s="1" t="s">
        <v>1824</v>
      </c>
      <c r="B608" s="4" t="s">
        <v>1825</v>
      </c>
      <c r="C608" s="3" t="s">
        <v>1826</v>
      </c>
      <c r="D608" s="5" t="s">
        <v>8</v>
      </c>
      <c r="E608" s="6">
        <f>VALUE(899.25)</f>
        <v>899.25</v>
      </c>
      <c r="F608" s="5" t="s">
        <v>10</v>
      </c>
    </row>
    <row r="609" spans="1:6" ht="43.5">
      <c r="A609" s="1" t="s">
        <v>1827</v>
      </c>
      <c r="B609" s="4" t="s">
        <v>1828</v>
      </c>
      <c r="C609" s="3" t="s">
        <v>1829</v>
      </c>
      <c r="D609" s="5" t="s">
        <v>8</v>
      </c>
      <c r="E609" s="6">
        <f>VALUE(1199)</f>
        <v>1199</v>
      </c>
      <c r="F609" s="5" t="s">
        <v>10</v>
      </c>
    </row>
    <row r="610" spans="1:6" ht="43.5">
      <c r="A610" s="1" t="s">
        <v>1830</v>
      </c>
      <c r="B610" s="4" t="s">
        <v>1831</v>
      </c>
      <c r="C610" s="3" t="s">
        <v>1832</v>
      </c>
      <c r="D610" s="5" t="s">
        <v>8</v>
      </c>
      <c r="E610" s="6">
        <f>VALUE(899.25)</f>
        <v>899.25</v>
      </c>
      <c r="F610" s="5" t="s">
        <v>10</v>
      </c>
    </row>
    <row r="611" spans="1:6" ht="43.5">
      <c r="A611" s="1" t="s">
        <v>1833</v>
      </c>
      <c r="B611" s="4" t="s">
        <v>1834</v>
      </c>
      <c r="C611" s="3" t="s">
        <v>1835</v>
      </c>
      <c r="D611" s="5" t="s">
        <v>8</v>
      </c>
      <c r="E611" s="6">
        <f>VALUE(2249.25)</f>
        <v>2249.25</v>
      </c>
      <c r="F611" s="5" t="s">
        <v>10</v>
      </c>
    </row>
    <row r="612" spans="1:6" ht="43.5">
      <c r="A612" s="1" t="s">
        <v>1836</v>
      </c>
      <c r="B612" s="4" t="s">
        <v>1837</v>
      </c>
      <c r="C612" s="3" t="s">
        <v>1838</v>
      </c>
      <c r="D612" s="5" t="s">
        <v>8</v>
      </c>
      <c r="E612" s="6">
        <f>VALUE(2999)</f>
        <v>2999</v>
      </c>
      <c r="F612" s="5" t="s">
        <v>10</v>
      </c>
    </row>
    <row r="613" spans="1:6" ht="43.5">
      <c r="A613" s="1" t="s">
        <v>1839</v>
      </c>
      <c r="B613" s="4" t="s">
        <v>1840</v>
      </c>
      <c r="C613" s="3" t="s">
        <v>1841</v>
      </c>
      <c r="D613" s="5" t="s">
        <v>8</v>
      </c>
      <c r="E613" s="6">
        <f>VALUE(2249.25)</f>
        <v>2249.25</v>
      </c>
      <c r="F613" s="5" t="s">
        <v>10</v>
      </c>
    </row>
    <row r="614" spans="1:6" ht="43.5">
      <c r="A614" s="1" t="s">
        <v>1842</v>
      </c>
      <c r="B614" s="4" t="s">
        <v>1843</v>
      </c>
      <c r="C614" s="3" t="s">
        <v>1844</v>
      </c>
      <c r="D614" s="5" t="s">
        <v>8</v>
      </c>
      <c r="E614" s="6">
        <f>VALUE(3600)</f>
        <v>3600</v>
      </c>
      <c r="F614" s="5" t="s">
        <v>10</v>
      </c>
    </row>
    <row r="615" spans="1:6" ht="43.5">
      <c r="A615" s="1" t="s">
        <v>1845</v>
      </c>
      <c r="B615" s="4" t="s">
        <v>1846</v>
      </c>
      <c r="C615" s="3" t="s">
        <v>1847</v>
      </c>
      <c r="D615" s="5" t="s">
        <v>8</v>
      </c>
      <c r="E615" s="6">
        <f>VALUE(4800)</f>
        <v>4800</v>
      </c>
      <c r="F615" s="5" t="s">
        <v>10</v>
      </c>
    </row>
    <row r="616" spans="1:6" ht="43.5">
      <c r="A616" s="1" t="s">
        <v>1848</v>
      </c>
      <c r="B616" s="4" t="s">
        <v>1849</v>
      </c>
      <c r="C616" s="3" t="s">
        <v>1850</v>
      </c>
      <c r="D616" s="5" t="s">
        <v>8</v>
      </c>
      <c r="E616" s="6">
        <f>VALUE(3600)</f>
        <v>3600</v>
      </c>
      <c r="F616" s="5" t="s">
        <v>10</v>
      </c>
    </row>
    <row r="617" spans="1:6" ht="43.5">
      <c r="A617" s="1" t="s">
        <v>1851</v>
      </c>
      <c r="B617" s="4" t="s">
        <v>1852</v>
      </c>
      <c r="C617" s="3" t="s">
        <v>1853</v>
      </c>
      <c r="D617" s="5" t="s">
        <v>8</v>
      </c>
      <c r="E617" s="6">
        <f>VALUE(2699.25)</f>
        <v>2699.25</v>
      </c>
      <c r="F617" s="5" t="s">
        <v>10</v>
      </c>
    </row>
    <row r="618" spans="1:6" ht="43.5">
      <c r="A618" s="1" t="s">
        <v>1854</v>
      </c>
      <c r="B618" s="4" t="s">
        <v>1855</v>
      </c>
      <c r="C618" s="3" t="s">
        <v>1856</v>
      </c>
      <c r="D618" s="5" t="s">
        <v>8</v>
      </c>
      <c r="E618" s="6">
        <f>VALUE(3599)</f>
        <v>3599</v>
      </c>
      <c r="F618" s="5" t="s">
        <v>10</v>
      </c>
    </row>
    <row r="619" spans="1:6" ht="43.5">
      <c r="A619" s="1" t="s">
        <v>1857</v>
      </c>
      <c r="B619" s="4" t="s">
        <v>1858</v>
      </c>
      <c r="C619" s="3" t="s">
        <v>1859</v>
      </c>
      <c r="D619" s="5" t="s">
        <v>8</v>
      </c>
      <c r="E619" s="6">
        <f>VALUE(2699.25)</f>
        <v>2699.25</v>
      </c>
      <c r="F619" s="5" t="s">
        <v>10</v>
      </c>
    </row>
    <row r="620" spans="1:6" ht="58">
      <c r="A620" s="1" t="s">
        <v>1860</v>
      </c>
      <c r="B620" s="4" t="s">
        <v>1861</v>
      </c>
      <c r="C620" s="3" t="s">
        <v>1862</v>
      </c>
      <c r="D620" s="5" t="s">
        <v>8</v>
      </c>
      <c r="E620" s="6">
        <f>VALUE(4349.25)</f>
        <v>4349.25</v>
      </c>
      <c r="F620" s="5" t="s">
        <v>10</v>
      </c>
    </row>
    <row r="621" spans="1:6" ht="43.5">
      <c r="A621" s="1" t="s">
        <v>1863</v>
      </c>
      <c r="B621" s="4" t="s">
        <v>1864</v>
      </c>
      <c r="C621" s="3" t="s">
        <v>1865</v>
      </c>
      <c r="D621" s="5" t="s">
        <v>8</v>
      </c>
      <c r="E621" s="6">
        <f>VALUE(5799)</f>
        <v>5799</v>
      </c>
      <c r="F621" s="5" t="s">
        <v>10</v>
      </c>
    </row>
    <row r="622" spans="1:6" ht="43.5">
      <c r="A622" s="1" t="s">
        <v>1866</v>
      </c>
      <c r="B622" s="4" t="s">
        <v>1867</v>
      </c>
      <c r="C622" s="3" t="s">
        <v>1868</v>
      </c>
      <c r="D622" s="5" t="s">
        <v>8</v>
      </c>
      <c r="E622" s="6">
        <f>VALUE(4349.25)</f>
        <v>4349.25</v>
      </c>
      <c r="F622" s="5" t="s">
        <v>10</v>
      </c>
    </row>
    <row r="623" spans="1:6" ht="43.5">
      <c r="A623" s="1" t="s">
        <v>1869</v>
      </c>
      <c r="B623" s="4" t="s">
        <v>1870</v>
      </c>
      <c r="C623" s="3" t="s">
        <v>1871</v>
      </c>
      <c r="D623" s="5" t="s">
        <v>8</v>
      </c>
      <c r="E623" s="6">
        <f>VALUE(2249.25)</f>
        <v>2249.25</v>
      </c>
      <c r="F623" s="5" t="s">
        <v>10</v>
      </c>
    </row>
    <row r="624" spans="1:6" ht="43.5">
      <c r="A624" s="1" t="s">
        <v>1872</v>
      </c>
      <c r="B624" s="4" t="s">
        <v>1873</v>
      </c>
      <c r="C624" s="3" t="s">
        <v>1874</v>
      </c>
      <c r="D624" s="5" t="s">
        <v>8</v>
      </c>
      <c r="E624" s="6">
        <f>VALUE(2999)</f>
        <v>2999</v>
      </c>
      <c r="F624" s="5" t="s">
        <v>10</v>
      </c>
    </row>
    <row r="625" spans="1:6" ht="43.5">
      <c r="A625" s="1" t="s">
        <v>1875</v>
      </c>
      <c r="B625" s="4" t="s">
        <v>1876</v>
      </c>
      <c r="C625" s="3" t="s">
        <v>1877</v>
      </c>
      <c r="D625" s="5" t="s">
        <v>8</v>
      </c>
      <c r="E625" s="6">
        <f>VALUE(2249.25)</f>
        <v>2249.25</v>
      </c>
      <c r="F625" s="5" t="s">
        <v>10</v>
      </c>
    </row>
    <row r="626" spans="1:6" ht="43.5">
      <c r="A626" s="1" t="s">
        <v>1878</v>
      </c>
      <c r="B626" s="4" t="s">
        <v>1879</v>
      </c>
      <c r="C626" s="3" t="s">
        <v>1880</v>
      </c>
      <c r="D626" s="5" t="s">
        <v>8</v>
      </c>
      <c r="E626" s="6">
        <f>VALUE(7349.25)</f>
        <v>7349.25</v>
      </c>
      <c r="F626" s="5" t="s">
        <v>10</v>
      </c>
    </row>
    <row r="627" spans="1:6" ht="43.5">
      <c r="A627" s="1" t="s">
        <v>1881</v>
      </c>
      <c r="B627" s="4" t="s">
        <v>1882</v>
      </c>
      <c r="C627" s="3" t="s">
        <v>1883</v>
      </c>
      <c r="D627" s="5" t="s">
        <v>8</v>
      </c>
      <c r="E627" s="6">
        <f>VALUE(1049.25)</f>
        <v>1049.25</v>
      </c>
      <c r="F627" s="5" t="s">
        <v>10</v>
      </c>
    </row>
    <row r="628" spans="1:6" ht="43.5">
      <c r="A628" s="1" t="s">
        <v>1884</v>
      </c>
      <c r="B628" s="4" t="s">
        <v>1885</v>
      </c>
      <c r="C628" s="3" t="s">
        <v>1886</v>
      </c>
      <c r="D628" s="5" t="s">
        <v>8</v>
      </c>
      <c r="E628" s="6">
        <f>VALUE(1399)</f>
        <v>1399</v>
      </c>
      <c r="F628" s="5" t="s">
        <v>10</v>
      </c>
    </row>
    <row r="629" spans="1:6" ht="43.5">
      <c r="A629" s="1" t="s">
        <v>1887</v>
      </c>
      <c r="B629" s="4" t="s">
        <v>1888</v>
      </c>
      <c r="C629" s="3" t="s">
        <v>1889</v>
      </c>
      <c r="D629" s="5" t="s">
        <v>8</v>
      </c>
      <c r="E629" s="6">
        <f>VALUE(1049.25)</f>
        <v>1049.25</v>
      </c>
      <c r="F629" s="5" t="s">
        <v>10</v>
      </c>
    </row>
    <row r="630" spans="1:6" ht="43.5">
      <c r="A630" s="1" t="s">
        <v>1890</v>
      </c>
      <c r="B630" s="4" t="s">
        <v>1891</v>
      </c>
      <c r="C630" s="3" t="s">
        <v>1892</v>
      </c>
      <c r="D630" s="5" t="s">
        <v>8</v>
      </c>
      <c r="E630" s="6">
        <f>VALUE(2249.25)</f>
        <v>2249.25</v>
      </c>
      <c r="F630" s="5" t="s">
        <v>10</v>
      </c>
    </row>
    <row r="631" spans="1:6" ht="43.5">
      <c r="A631" s="1" t="s">
        <v>1893</v>
      </c>
      <c r="B631" s="4" t="s">
        <v>1894</v>
      </c>
      <c r="C631" s="3" t="s">
        <v>1895</v>
      </c>
      <c r="D631" s="5" t="s">
        <v>8</v>
      </c>
      <c r="E631" s="6">
        <f>VALUE(2999)</f>
        <v>2999</v>
      </c>
      <c r="F631" s="5" t="s">
        <v>10</v>
      </c>
    </row>
    <row r="632" spans="1:6" ht="43.5">
      <c r="A632" s="1" t="s">
        <v>1896</v>
      </c>
      <c r="B632" s="4" t="s">
        <v>1897</v>
      </c>
      <c r="C632" s="3" t="s">
        <v>1898</v>
      </c>
      <c r="D632" s="5" t="s">
        <v>8</v>
      </c>
      <c r="E632" s="6">
        <f>VALUE(2249.25)</f>
        <v>2249.25</v>
      </c>
      <c r="F632" s="5" t="s">
        <v>10</v>
      </c>
    </row>
    <row r="633" spans="1:6" ht="43.5">
      <c r="A633" s="1" t="s">
        <v>1899</v>
      </c>
      <c r="B633" s="4" t="s">
        <v>1900</v>
      </c>
      <c r="C633" s="3" t="s">
        <v>1901</v>
      </c>
      <c r="D633" s="5" t="s">
        <v>8</v>
      </c>
      <c r="E633" s="6">
        <f>VALUE(4499.25)</f>
        <v>4499.25</v>
      </c>
      <c r="F633" s="5" t="s">
        <v>10</v>
      </c>
    </row>
    <row r="634" spans="1:6" ht="29">
      <c r="A634" s="1" t="s">
        <v>1902</v>
      </c>
      <c r="B634" s="4" t="s">
        <v>1903</v>
      </c>
      <c r="C634" s="3" t="s">
        <v>1904</v>
      </c>
      <c r="D634" s="5" t="s">
        <v>8</v>
      </c>
      <c r="E634" s="6">
        <f>VALUE(5999)</f>
        <v>5999</v>
      </c>
      <c r="F634" s="5" t="s">
        <v>10</v>
      </c>
    </row>
    <row r="635" spans="1:6" ht="43.5">
      <c r="A635" s="1" t="s">
        <v>1905</v>
      </c>
      <c r="B635" s="4" t="s">
        <v>1906</v>
      </c>
      <c r="C635" s="3" t="s">
        <v>1907</v>
      </c>
      <c r="D635" s="5" t="s">
        <v>8</v>
      </c>
      <c r="E635" s="6">
        <f>VALUE(4499.25)</f>
        <v>4499.25</v>
      </c>
      <c r="F635" s="5" t="s">
        <v>10</v>
      </c>
    </row>
    <row r="636" spans="1:6" ht="43.5">
      <c r="A636" s="1" t="s">
        <v>1908</v>
      </c>
      <c r="B636" s="4" t="s">
        <v>1909</v>
      </c>
      <c r="C636" s="3" t="s">
        <v>1910</v>
      </c>
      <c r="D636" s="5" t="s">
        <v>8</v>
      </c>
      <c r="E636" s="6">
        <f>VALUE(2999.25)</f>
        <v>2999.25</v>
      </c>
      <c r="F636" s="5" t="s">
        <v>10</v>
      </c>
    </row>
    <row r="637" spans="1:6" ht="43.5">
      <c r="A637" s="1" t="s">
        <v>1911</v>
      </c>
      <c r="B637" s="4" t="s">
        <v>1912</v>
      </c>
      <c r="C637" s="3" t="s">
        <v>1913</v>
      </c>
      <c r="D637" s="5" t="s">
        <v>8</v>
      </c>
      <c r="E637" s="6">
        <f>VALUE(3999)</f>
        <v>3999</v>
      </c>
      <c r="F637" s="5" t="s">
        <v>10</v>
      </c>
    </row>
    <row r="638" spans="1:6" ht="43.5">
      <c r="A638" s="1" t="s">
        <v>1914</v>
      </c>
      <c r="B638" s="4" t="s">
        <v>1915</v>
      </c>
      <c r="C638" s="3" t="s">
        <v>1916</v>
      </c>
      <c r="D638" s="5" t="s">
        <v>8</v>
      </c>
      <c r="E638" s="6">
        <f>VALUE(2999.25)</f>
        <v>2999.25</v>
      </c>
      <c r="F638" s="5" t="s">
        <v>10</v>
      </c>
    </row>
    <row r="639" spans="1:6" ht="43.5">
      <c r="A639" s="1" t="s">
        <v>1917</v>
      </c>
      <c r="B639" s="4" t="s">
        <v>1918</v>
      </c>
      <c r="C639" s="3" t="s">
        <v>1919</v>
      </c>
      <c r="D639" s="5" t="s">
        <v>8</v>
      </c>
      <c r="E639" s="6">
        <f>VALUE(4499.25)</f>
        <v>4499.25</v>
      </c>
      <c r="F639" s="5" t="s">
        <v>10</v>
      </c>
    </row>
    <row r="640" spans="1:6" ht="43.5">
      <c r="A640" s="1" t="s">
        <v>1920</v>
      </c>
      <c r="B640" s="4" t="s">
        <v>1921</v>
      </c>
      <c r="C640" s="3" t="s">
        <v>1922</v>
      </c>
      <c r="D640" s="5" t="s">
        <v>8</v>
      </c>
      <c r="E640" s="6">
        <f>VALUE(5999)</f>
        <v>5999</v>
      </c>
      <c r="F640" s="5" t="s">
        <v>10</v>
      </c>
    </row>
    <row r="641" spans="1:6" ht="43.5">
      <c r="A641" s="1" t="s">
        <v>1923</v>
      </c>
      <c r="B641" s="4" t="s">
        <v>1924</v>
      </c>
      <c r="C641" s="3" t="s">
        <v>1925</v>
      </c>
      <c r="D641" s="5" t="s">
        <v>8</v>
      </c>
      <c r="E641" s="6">
        <f>VALUE(4499.25)</f>
        <v>4499.25</v>
      </c>
      <c r="F641" s="5" t="s">
        <v>10</v>
      </c>
    </row>
    <row r="642" spans="1:6" ht="43.5">
      <c r="A642" s="1" t="s">
        <v>1926</v>
      </c>
      <c r="B642" s="4" t="s">
        <v>1927</v>
      </c>
      <c r="C642" s="3" t="s">
        <v>1928</v>
      </c>
      <c r="D642" s="5" t="s">
        <v>8</v>
      </c>
      <c r="E642" s="6">
        <f>VALUE(5999.25)</f>
        <v>5999.25</v>
      </c>
      <c r="F642" s="5" t="s">
        <v>10</v>
      </c>
    </row>
    <row r="643" spans="1:6" ht="43.5">
      <c r="A643" s="1" t="s">
        <v>1929</v>
      </c>
      <c r="B643" s="4" t="s">
        <v>1930</v>
      </c>
      <c r="C643" s="3" t="s">
        <v>1931</v>
      </c>
      <c r="D643" s="5" t="s">
        <v>8</v>
      </c>
      <c r="E643" s="6">
        <f>VALUE(7999)</f>
        <v>7999</v>
      </c>
      <c r="F643" s="5" t="s">
        <v>10</v>
      </c>
    </row>
    <row r="644" spans="1:6" ht="43.5">
      <c r="A644" s="1" t="s">
        <v>1932</v>
      </c>
      <c r="B644" s="4" t="s">
        <v>1933</v>
      </c>
      <c r="C644" s="3" t="s">
        <v>1934</v>
      </c>
      <c r="D644" s="5" t="s">
        <v>8</v>
      </c>
      <c r="E644" s="6">
        <f>VALUE(5999.25)</f>
        <v>5999.25</v>
      </c>
      <c r="F644" s="5" t="s">
        <v>10</v>
      </c>
    </row>
    <row r="645" spans="1:6" ht="43.5">
      <c r="A645" s="1" t="s">
        <v>1935</v>
      </c>
      <c r="B645" s="4" t="s">
        <v>1936</v>
      </c>
      <c r="C645" s="3" t="s">
        <v>1937</v>
      </c>
      <c r="D645" s="5" t="s">
        <v>8</v>
      </c>
      <c r="E645" s="6">
        <f>VALUE(1349.25)</f>
        <v>1349.25</v>
      </c>
      <c r="F645" s="5" t="s">
        <v>10</v>
      </c>
    </row>
    <row r="646" spans="1:6" ht="43.5">
      <c r="A646" s="1" t="s">
        <v>1938</v>
      </c>
      <c r="B646" s="4" t="s">
        <v>1939</v>
      </c>
      <c r="C646" s="3" t="s">
        <v>1940</v>
      </c>
      <c r="D646" s="5" t="s">
        <v>8</v>
      </c>
      <c r="E646" s="6">
        <f>VALUE(1799)</f>
        <v>1799</v>
      </c>
      <c r="F646" s="5" t="s">
        <v>10</v>
      </c>
    </row>
    <row r="647" spans="1:6" ht="43.5">
      <c r="A647" s="1" t="s">
        <v>1941</v>
      </c>
      <c r="B647" s="4" t="s">
        <v>1942</v>
      </c>
      <c r="C647" s="3" t="s">
        <v>1943</v>
      </c>
      <c r="D647" s="5" t="s">
        <v>8</v>
      </c>
      <c r="E647" s="6">
        <f>VALUE(1349.25)</f>
        <v>1349.25</v>
      </c>
      <c r="F647" s="5" t="s">
        <v>10</v>
      </c>
    </row>
    <row r="648" spans="1:6" ht="43.5">
      <c r="A648" s="1" t="s">
        <v>1944</v>
      </c>
      <c r="B648" s="4" t="s">
        <v>1945</v>
      </c>
      <c r="C648" s="3" t="s">
        <v>1946</v>
      </c>
      <c r="D648" s="5" t="s">
        <v>8</v>
      </c>
      <c r="E648" s="6">
        <f>VALUE(2249.25)</f>
        <v>2249.25</v>
      </c>
      <c r="F648" s="5" t="s">
        <v>10</v>
      </c>
    </row>
    <row r="649" spans="1:6" ht="43.5">
      <c r="A649" s="1" t="s">
        <v>1947</v>
      </c>
      <c r="B649" s="4" t="s">
        <v>1948</v>
      </c>
      <c r="C649" s="3" t="s">
        <v>1949</v>
      </c>
      <c r="D649" s="5" t="s">
        <v>8</v>
      </c>
      <c r="E649" s="6">
        <f>VALUE(2999)</f>
        <v>2999</v>
      </c>
      <c r="F649" s="5" t="s">
        <v>10</v>
      </c>
    </row>
    <row r="650" spans="1:6" ht="43.5">
      <c r="A650" s="1" t="s">
        <v>1950</v>
      </c>
      <c r="B650" s="4" t="s">
        <v>1951</v>
      </c>
      <c r="C650" s="3" t="s">
        <v>1952</v>
      </c>
      <c r="D650" s="5" t="s">
        <v>8</v>
      </c>
      <c r="E650" s="6">
        <f>VALUE(2249.25)</f>
        <v>2249.25</v>
      </c>
      <c r="F650" s="5" t="s">
        <v>10</v>
      </c>
    </row>
    <row r="651" spans="1:6" ht="43.5">
      <c r="A651" s="1" t="s">
        <v>1953</v>
      </c>
      <c r="B651" s="4" t="s">
        <v>1954</v>
      </c>
      <c r="C651" s="3" t="s">
        <v>1955</v>
      </c>
      <c r="D651" s="5" t="s">
        <v>8</v>
      </c>
      <c r="E651" s="6">
        <f>VALUE(9799)</f>
        <v>9799</v>
      </c>
      <c r="F651" s="5" t="s">
        <v>10</v>
      </c>
    </row>
    <row r="652" spans="1:6" ht="43.5">
      <c r="A652" s="1" t="s">
        <v>1956</v>
      </c>
      <c r="B652" s="4" t="s">
        <v>1957</v>
      </c>
      <c r="C652" s="3" t="s">
        <v>1958</v>
      </c>
      <c r="D652" s="5" t="s">
        <v>8</v>
      </c>
      <c r="E652" s="6">
        <f>VALUE(7349.25)</f>
        <v>7349.25</v>
      </c>
      <c r="F652" s="5" t="s">
        <v>10</v>
      </c>
    </row>
    <row r="653" spans="1:6" ht="43.5">
      <c r="A653" s="1" t="s">
        <v>1959</v>
      </c>
      <c r="B653" s="4" t="s">
        <v>1960</v>
      </c>
      <c r="C653" s="3" t="s">
        <v>1961</v>
      </c>
      <c r="D653" s="5" t="s">
        <v>8</v>
      </c>
      <c r="E653" s="6">
        <f>VALUE(2699.25)</f>
        <v>2699.25</v>
      </c>
      <c r="F653" s="5" t="s">
        <v>10</v>
      </c>
    </row>
    <row r="654" spans="1:6" ht="43.5">
      <c r="A654" s="1" t="s">
        <v>1962</v>
      </c>
      <c r="B654" s="4" t="s">
        <v>1963</v>
      </c>
      <c r="C654" s="3" t="s">
        <v>1964</v>
      </c>
      <c r="D654" s="5" t="s">
        <v>8</v>
      </c>
      <c r="E654" s="6">
        <f>VALUE(3599)</f>
        <v>3599</v>
      </c>
      <c r="F654" s="5" t="s">
        <v>10</v>
      </c>
    </row>
    <row r="655" spans="1:6" ht="43.5">
      <c r="A655" s="1" t="s">
        <v>1965</v>
      </c>
      <c r="B655" s="4" t="s">
        <v>1966</v>
      </c>
      <c r="C655" s="3" t="s">
        <v>1967</v>
      </c>
      <c r="D655" s="5" t="s">
        <v>8</v>
      </c>
      <c r="E655" s="6">
        <f>VALUE(2699.25)</f>
        <v>2699.25</v>
      </c>
      <c r="F655" s="5" t="s">
        <v>10</v>
      </c>
    </row>
    <row r="656" spans="1:6" ht="43.5">
      <c r="A656" s="1" t="s">
        <v>1968</v>
      </c>
      <c r="B656" s="4" t="s">
        <v>1969</v>
      </c>
      <c r="C656" s="3" t="s">
        <v>1970</v>
      </c>
      <c r="D656" s="5" t="s">
        <v>8</v>
      </c>
      <c r="E656" s="6">
        <f>VALUE(749.25)</f>
        <v>749.25</v>
      </c>
      <c r="F656" s="5" t="s">
        <v>10</v>
      </c>
    </row>
    <row r="657" spans="1:6" ht="43.5">
      <c r="A657" s="1" t="s">
        <v>1971</v>
      </c>
      <c r="B657" s="4" t="s">
        <v>1972</v>
      </c>
      <c r="C657" s="3" t="s">
        <v>1973</v>
      </c>
      <c r="D657" s="5" t="s">
        <v>8</v>
      </c>
      <c r="E657" s="6">
        <f>VALUE(999)</f>
        <v>999</v>
      </c>
      <c r="F657" s="5" t="s">
        <v>10</v>
      </c>
    </row>
    <row r="658" spans="1:6" ht="43.5">
      <c r="A658" s="1" t="s">
        <v>1974</v>
      </c>
      <c r="B658" s="4" t="s">
        <v>1975</v>
      </c>
      <c r="C658" s="3" t="s">
        <v>1976</v>
      </c>
      <c r="D658" s="5" t="s">
        <v>8</v>
      </c>
      <c r="E658" s="6">
        <f>VALUE(749.25)</f>
        <v>749.25</v>
      </c>
      <c r="F658" s="5" t="s">
        <v>10</v>
      </c>
    </row>
    <row r="659" spans="1:6" ht="43.5">
      <c r="A659" s="1" t="s">
        <v>1977</v>
      </c>
      <c r="B659" s="4" t="s">
        <v>1978</v>
      </c>
      <c r="C659" s="3" t="s">
        <v>1979</v>
      </c>
      <c r="D659" s="5" t="s">
        <v>8</v>
      </c>
      <c r="E659" s="6">
        <f>VALUE(599.25)</f>
        <v>599.25</v>
      </c>
      <c r="F659" s="5" t="s">
        <v>10</v>
      </c>
    </row>
    <row r="660" spans="1:6" ht="43.5">
      <c r="A660" s="1" t="s">
        <v>1980</v>
      </c>
      <c r="B660" s="4" t="s">
        <v>1981</v>
      </c>
      <c r="C660" s="3" t="s">
        <v>1982</v>
      </c>
      <c r="D660" s="5" t="s">
        <v>8</v>
      </c>
      <c r="E660" s="6">
        <f>VALUE(799)</f>
        <v>799</v>
      </c>
      <c r="F660" s="5" t="s">
        <v>10</v>
      </c>
    </row>
    <row r="661" spans="1:6" ht="43.5">
      <c r="A661" s="1" t="s">
        <v>1983</v>
      </c>
      <c r="B661" s="4" t="s">
        <v>1984</v>
      </c>
      <c r="C661" s="3" t="s">
        <v>1985</v>
      </c>
      <c r="D661" s="5" t="s">
        <v>8</v>
      </c>
      <c r="E661" s="6">
        <f>VALUE(599.25)</f>
        <v>599.25</v>
      </c>
      <c r="F661" s="5" t="s">
        <v>10</v>
      </c>
    </row>
    <row r="662" spans="1:6" ht="43.5">
      <c r="A662" s="1" t="s">
        <v>1986</v>
      </c>
      <c r="B662" s="4" t="s">
        <v>1987</v>
      </c>
      <c r="C662" s="3" t="s">
        <v>1988</v>
      </c>
      <c r="D662" s="5" t="s">
        <v>8</v>
      </c>
      <c r="E662" s="6">
        <f>VALUE(599.25)</f>
        <v>599.25</v>
      </c>
      <c r="F662" s="5" t="s">
        <v>10</v>
      </c>
    </row>
    <row r="663" spans="1:6" ht="43.5">
      <c r="A663" s="1" t="s">
        <v>1989</v>
      </c>
      <c r="B663" s="4" t="s">
        <v>1990</v>
      </c>
      <c r="C663" s="3" t="s">
        <v>1991</v>
      </c>
      <c r="D663" s="5" t="s">
        <v>8</v>
      </c>
      <c r="E663" s="6">
        <f>VALUE(799)</f>
        <v>799</v>
      </c>
      <c r="F663" s="5" t="s">
        <v>10</v>
      </c>
    </row>
    <row r="664" spans="1:6" ht="43.5">
      <c r="A664" s="1" t="s">
        <v>1992</v>
      </c>
      <c r="B664" s="4" t="s">
        <v>1993</v>
      </c>
      <c r="C664" s="3" t="s">
        <v>1994</v>
      </c>
      <c r="D664" s="5" t="s">
        <v>8</v>
      </c>
      <c r="E664" s="6">
        <f>VALUE(599.25)</f>
        <v>599.25</v>
      </c>
      <c r="F664" s="5" t="s">
        <v>10</v>
      </c>
    </row>
    <row r="665" spans="1:6" ht="43.5">
      <c r="A665" s="1" t="s">
        <v>1995</v>
      </c>
      <c r="B665" s="4" t="s">
        <v>1996</v>
      </c>
      <c r="C665" s="3" t="s">
        <v>1997</v>
      </c>
      <c r="D665" s="5" t="s">
        <v>8</v>
      </c>
      <c r="E665" s="6">
        <f>VALUE(599.25)</f>
        <v>599.25</v>
      </c>
      <c r="F665" s="5" t="s">
        <v>10</v>
      </c>
    </row>
    <row r="666" spans="1:6" ht="29">
      <c r="A666" s="1" t="s">
        <v>1998</v>
      </c>
      <c r="B666" s="4" t="s">
        <v>1999</v>
      </c>
      <c r="C666" s="3" t="s">
        <v>2000</v>
      </c>
      <c r="D666" s="5" t="s">
        <v>8</v>
      </c>
      <c r="E666" s="6">
        <f>VALUE(799)</f>
        <v>799</v>
      </c>
      <c r="F666" s="5" t="s">
        <v>10</v>
      </c>
    </row>
    <row r="667" spans="1:6" ht="29">
      <c r="A667" s="1" t="s">
        <v>2001</v>
      </c>
      <c r="B667" s="4" t="s">
        <v>2002</v>
      </c>
      <c r="C667" s="3" t="s">
        <v>2003</v>
      </c>
      <c r="D667" s="5" t="s">
        <v>8</v>
      </c>
      <c r="E667" s="6">
        <f>VALUE(599.25)</f>
        <v>599.25</v>
      </c>
      <c r="F667" s="5" t="s">
        <v>10</v>
      </c>
    </row>
    <row r="668" spans="1:6" ht="43.5">
      <c r="A668" s="1" t="s">
        <v>2004</v>
      </c>
      <c r="B668" s="4" t="s">
        <v>2005</v>
      </c>
      <c r="C668" s="3" t="s">
        <v>2006</v>
      </c>
      <c r="D668" s="5" t="s">
        <v>8</v>
      </c>
      <c r="E668" s="6">
        <f>VALUE(599.25)</f>
        <v>599.25</v>
      </c>
      <c r="F668" s="5" t="s">
        <v>10</v>
      </c>
    </row>
    <row r="669" spans="1:6" ht="43.5">
      <c r="A669" s="1" t="s">
        <v>2007</v>
      </c>
      <c r="B669" s="4" t="s">
        <v>2008</v>
      </c>
      <c r="C669" s="3" t="s">
        <v>2009</v>
      </c>
      <c r="D669" s="5" t="s">
        <v>8</v>
      </c>
      <c r="E669" s="6">
        <f>VALUE(799)</f>
        <v>799</v>
      </c>
      <c r="F669" s="5" t="s">
        <v>10</v>
      </c>
    </row>
    <row r="670" spans="1:6" ht="43.5">
      <c r="A670" s="1" t="s">
        <v>2010</v>
      </c>
      <c r="B670" s="4" t="s">
        <v>2011</v>
      </c>
      <c r="C670" s="3" t="s">
        <v>2012</v>
      </c>
      <c r="D670" s="5" t="s">
        <v>8</v>
      </c>
      <c r="E670" s="6">
        <f>VALUE(599.25)</f>
        <v>599.25</v>
      </c>
      <c r="F670" s="5" t="s">
        <v>10</v>
      </c>
    </row>
    <row r="671" spans="1:6" ht="43.5">
      <c r="A671" s="1" t="s">
        <v>2013</v>
      </c>
      <c r="B671" s="4" t="s">
        <v>2014</v>
      </c>
      <c r="C671" s="3" t="s">
        <v>2015</v>
      </c>
      <c r="D671" s="5" t="s">
        <v>8</v>
      </c>
      <c r="E671" s="6">
        <f>VALUE(1199.25)</f>
        <v>1199.25</v>
      </c>
      <c r="F671" s="5" t="s">
        <v>10</v>
      </c>
    </row>
    <row r="672" spans="1:6" ht="29">
      <c r="A672" s="1" t="s">
        <v>2016</v>
      </c>
      <c r="B672" s="4" t="s">
        <v>2017</v>
      </c>
      <c r="C672" s="3" t="s">
        <v>2018</v>
      </c>
      <c r="D672" s="5" t="s">
        <v>8</v>
      </c>
      <c r="E672" s="6">
        <f>VALUE(1599)</f>
        <v>1599</v>
      </c>
      <c r="F672" s="5" t="s">
        <v>10</v>
      </c>
    </row>
    <row r="673" spans="1:6" ht="29">
      <c r="A673" s="1" t="s">
        <v>2019</v>
      </c>
      <c r="B673" s="4" t="s">
        <v>2020</v>
      </c>
      <c r="C673" s="3" t="s">
        <v>2021</v>
      </c>
      <c r="D673" s="5" t="s">
        <v>8</v>
      </c>
      <c r="E673" s="6">
        <f>VALUE(1199.25)</f>
        <v>1199.25</v>
      </c>
      <c r="F673" s="5" t="s">
        <v>10</v>
      </c>
    </row>
    <row r="674" spans="1:6" ht="43.5">
      <c r="A674" s="1" t="s">
        <v>2022</v>
      </c>
      <c r="B674" s="4" t="s">
        <v>2023</v>
      </c>
      <c r="C674" s="3" t="s">
        <v>2024</v>
      </c>
      <c r="D674" s="5" t="s">
        <v>8</v>
      </c>
      <c r="E674" s="6">
        <f>VALUE(599.25)</f>
        <v>599.25</v>
      </c>
      <c r="F674" s="5" t="s">
        <v>10</v>
      </c>
    </row>
    <row r="675" spans="1:6" ht="29">
      <c r="A675" s="1" t="s">
        <v>2025</v>
      </c>
      <c r="B675" s="4" t="s">
        <v>2026</v>
      </c>
      <c r="C675" s="3" t="s">
        <v>2027</v>
      </c>
      <c r="D675" s="5" t="s">
        <v>8</v>
      </c>
      <c r="E675" s="6">
        <f>VALUE(799)</f>
        <v>799</v>
      </c>
      <c r="F675" s="5" t="s">
        <v>10</v>
      </c>
    </row>
    <row r="676" spans="1:6" ht="29">
      <c r="A676" s="1" t="s">
        <v>2028</v>
      </c>
      <c r="B676" s="4" t="s">
        <v>2029</v>
      </c>
      <c r="C676" s="3" t="s">
        <v>2030</v>
      </c>
      <c r="D676" s="5" t="s">
        <v>8</v>
      </c>
      <c r="E676" s="6">
        <f>VALUE(599.25)</f>
        <v>599.25</v>
      </c>
      <c r="F676" s="5" t="s">
        <v>10</v>
      </c>
    </row>
    <row r="677" spans="1:6" ht="29">
      <c r="A677" s="1" t="s">
        <v>2031</v>
      </c>
      <c r="B677" s="4" t="s">
        <v>2032</v>
      </c>
      <c r="C677" s="3" t="s">
        <v>2033</v>
      </c>
      <c r="D677" s="5" t="s">
        <v>8</v>
      </c>
      <c r="E677" s="6">
        <f>VALUE(29.25)</f>
        <v>29.25</v>
      </c>
      <c r="F677" s="5" t="s">
        <v>10</v>
      </c>
    </row>
    <row r="678" spans="1:6" ht="29">
      <c r="A678" s="1" t="s">
        <v>2034</v>
      </c>
      <c r="B678" s="4" t="s">
        <v>2035</v>
      </c>
      <c r="C678" s="3" t="s">
        <v>2036</v>
      </c>
      <c r="D678" s="5" t="s">
        <v>8</v>
      </c>
      <c r="E678" s="6">
        <f>VALUE(39)</f>
        <v>39</v>
      </c>
      <c r="F678" s="5" t="s">
        <v>10</v>
      </c>
    </row>
    <row r="679" spans="1:6" ht="29">
      <c r="A679" s="1" t="s">
        <v>2037</v>
      </c>
      <c r="B679" s="4" t="s">
        <v>2038</v>
      </c>
      <c r="C679" s="3" t="s">
        <v>2039</v>
      </c>
      <c r="D679" s="5" t="s">
        <v>8</v>
      </c>
      <c r="E679" s="6">
        <f>VALUE(29.25)</f>
        <v>29.25</v>
      </c>
      <c r="F679" s="5" t="s">
        <v>10</v>
      </c>
    </row>
    <row r="680" spans="1:6" ht="43.5">
      <c r="A680" s="1" t="s">
        <v>2040</v>
      </c>
      <c r="B680" s="4" t="s">
        <v>2041</v>
      </c>
      <c r="C680" s="3" t="s">
        <v>2042</v>
      </c>
      <c r="D680" s="5" t="s">
        <v>8</v>
      </c>
      <c r="E680" s="6">
        <f>VALUE(74.25)</f>
        <v>74.25</v>
      </c>
      <c r="F680" s="5" t="s">
        <v>10</v>
      </c>
    </row>
    <row r="681" spans="1:6" ht="43.5">
      <c r="A681" s="1" t="s">
        <v>2043</v>
      </c>
      <c r="B681" s="4" t="s">
        <v>2044</v>
      </c>
      <c r="C681" s="3" t="s">
        <v>2045</v>
      </c>
      <c r="D681" s="5" t="s">
        <v>8</v>
      </c>
      <c r="E681" s="6">
        <f>VALUE(99)</f>
        <v>99</v>
      </c>
      <c r="F681" s="5" t="s">
        <v>10</v>
      </c>
    </row>
    <row r="682" spans="1:6" ht="29">
      <c r="A682" s="1" t="s">
        <v>2046</v>
      </c>
      <c r="B682" s="4" t="s">
        <v>2047</v>
      </c>
      <c r="C682" s="3" t="s">
        <v>2048</v>
      </c>
      <c r="D682" s="5" t="s">
        <v>8</v>
      </c>
      <c r="E682" s="6">
        <f>VALUE(74.25)</f>
        <v>74.25</v>
      </c>
      <c r="F682" s="5" t="s">
        <v>10</v>
      </c>
    </row>
    <row r="683" spans="1:6" ht="43.5">
      <c r="A683" s="1" t="s">
        <v>2049</v>
      </c>
      <c r="B683" s="4" t="s">
        <v>2050</v>
      </c>
      <c r="C683" s="3" t="s">
        <v>2051</v>
      </c>
      <c r="D683" s="5" t="s">
        <v>8</v>
      </c>
      <c r="E683" s="6">
        <f>VALUE(89.25)</f>
        <v>89.25</v>
      </c>
      <c r="F683" s="5" t="s">
        <v>10</v>
      </c>
    </row>
    <row r="684" spans="1:6" ht="29">
      <c r="A684" s="1" t="s">
        <v>2052</v>
      </c>
      <c r="B684" s="4" t="s">
        <v>2053</v>
      </c>
      <c r="C684" s="3" t="s">
        <v>2054</v>
      </c>
      <c r="D684" s="5" t="s">
        <v>8</v>
      </c>
      <c r="E684" s="6">
        <f>VALUE(119)</f>
        <v>119</v>
      </c>
      <c r="F684" s="5" t="s">
        <v>10</v>
      </c>
    </row>
    <row r="685" spans="1:6" ht="29">
      <c r="A685" s="1" t="s">
        <v>2055</v>
      </c>
      <c r="B685" s="4" t="s">
        <v>2056</v>
      </c>
      <c r="C685" s="3" t="s">
        <v>2057</v>
      </c>
      <c r="D685" s="5" t="s">
        <v>8</v>
      </c>
      <c r="E685" s="6">
        <f>VALUE(89.25)</f>
        <v>89.25</v>
      </c>
      <c r="F685" s="5" t="s">
        <v>10</v>
      </c>
    </row>
    <row r="686" spans="1:6" ht="29">
      <c r="A686" s="1" t="s">
        <v>2058</v>
      </c>
      <c r="B686" s="4" t="s">
        <v>2059</v>
      </c>
      <c r="C686" s="3" t="s">
        <v>2060</v>
      </c>
      <c r="D686" s="5" t="s">
        <v>8</v>
      </c>
      <c r="E686" s="6">
        <f>VALUE(36.75)</f>
        <v>36.75</v>
      </c>
      <c r="F686" s="5" t="s">
        <v>10</v>
      </c>
    </row>
    <row r="687" spans="1:6" ht="29">
      <c r="A687" s="1" t="s">
        <v>2061</v>
      </c>
      <c r="B687" s="4" t="s">
        <v>2062</v>
      </c>
      <c r="C687" s="3" t="s">
        <v>2063</v>
      </c>
      <c r="D687" s="5" t="s">
        <v>8</v>
      </c>
      <c r="E687" s="6">
        <f>VALUE(49)</f>
        <v>49</v>
      </c>
      <c r="F687" s="5" t="s">
        <v>10</v>
      </c>
    </row>
    <row r="688" spans="1:6" ht="29">
      <c r="A688" s="1" t="s">
        <v>2064</v>
      </c>
      <c r="B688" s="4" t="s">
        <v>2065</v>
      </c>
      <c r="C688" s="3" t="s">
        <v>2066</v>
      </c>
      <c r="D688" s="5" t="s">
        <v>8</v>
      </c>
      <c r="E688" s="6">
        <f>VALUE(36.75)</f>
        <v>36.75</v>
      </c>
      <c r="F688" s="5" t="s">
        <v>10</v>
      </c>
    </row>
    <row r="689" spans="1:6" ht="29">
      <c r="A689" s="1" t="s">
        <v>2067</v>
      </c>
      <c r="B689" s="4" t="s">
        <v>2068</v>
      </c>
      <c r="C689" s="3" t="s">
        <v>2069</v>
      </c>
      <c r="D689" s="5" t="s">
        <v>8</v>
      </c>
      <c r="E689" s="6">
        <f>VALUE(29.25)</f>
        <v>29.25</v>
      </c>
      <c r="F689" s="5" t="s">
        <v>10</v>
      </c>
    </row>
    <row r="690" spans="1:6" ht="29">
      <c r="A690" s="1" t="s">
        <v>2070</v>
      </c>
      <c r="B690" s="4" t="s">
        <v>2071</v>
      </c>
      <c r="C690" s="3" t="s">
        <v>2072</v>
      </c>
      <c r="D690" s="5" t="s">
        <v>8</v>
      </c>
      <c r="E690" s="6">
        <f>VALUE(36.75)</f>
        <v>36.75</v>
      </c>
      <c r="F690" s="5" t="s">
        <v>10</v>
      </c>
    </row>
    <row r="691" spans="1:6" ht="29">
      <c r="A691" s="1" t="s">
        <v>2073</v>
      </c>
      <c r="B691" s="4" t="s">
        <v>2074</v>
      </c>
      <c r="C691" s="3" t="s">
        <v>2075</v>
      </c>
      <c r="D691" s="5" t="s">
        <v>8</v>
      </c>
      <c r="E691" s="6">
        <f>VALUE(49)</f>
        <v>49</v>
      </c>
      <c r="F691" s="5" t="s">
        <v>10</v>
      </c>
    </row>
    <row r="692" spans="1:6" ht="29">
      <c r="A692" s="1" t="s">
        <v>2076</v>
      </c>
      <c r="B692" s="4" t="s">
        <v>2077</v>
      </c>
      <c r="C692" s="3" t="s">
        <v>2078</v>
      </c>
      <c r="D692" s="5" t="s">
        <v>8</v>
      </c>
      <c r="E692" s="6">
        <f>VALUE(36.75)</f>
        <v>36.75</v>
      </c>
      <c r="F692" s="5" t="s">
        <v>10</v>
      </c>
    </row>
    <row r="693" spans="1:6" ht="29">
      <c r="A693" s="1" t="s">
        <v>2079</v>
      </c>
      <c r="B693" s="4" t="s">
        <v>2080</v>
      </c>
      <c r="C693" s="3" t="s">
        <v>2081</v>
      </c>
      <c r="D693" s="5" t="s">
        <v>8</v>
      </c>
      <c r="E693" s="6">
        <f>VALUE(39)</f>
        <v>39</v>
      </c>
      <c r="F693" s="5" t="s">
        <v>10</v>
      </c>
    </row>
    <row r="694" spans="1:6" ht="29">
      <c r="A694" s="1" t="s">
        <v>2082</v>
      </c>
      <c r="B694" s="4" t="s">
        <v>2083</v>
      </c>
      <c r="C694" s="3" t="s">
        <v>2084</v>
      </c>
      <c r="D694" s="5" t="s">
        <v>8</v>
      </c>
      <c r="E694" s="6">
        <f>VALUE(29.25)</f>
        <v>29.25</v>
      </c>
      <c r="F694" s="5" t="s">
        <v>10</v>
      </c>
    </row>
    <row r="695" spans="1:6" ht="43.5">
      <c r="A695" s="1" t="s">
        <v>2085</v>
      </c>
      <c r="B695" s="4" t="s">
        <v>2086</v>
      </c>
      <c r="C695" s="3" t="s">
        <v>2087</v>
      </c>
      <c r="D695" s="5" t="s">
        <v>8</v>
      </c>
      <c r="E695" s="6">
        <f>VALUE(2249.25)</f>
        <v>2249.25</v>
      </c>
      <c r="F695" s="5" t="s">
        <v>10</v>
      </c>
    </row>
    <row r="696" spans="1:6" ht="29">
      <c r="A696" s="1" t="s">
        <v>2088</v>
      </c>
      <c r="B696" s="4" t="s">
        <v>2089</v>
      </c>
      <c r="C696" s="3" t="s">
        <v>2090</v>
      </c>
      <c r="D696" s="5" t="s">
        <v>8</v>
      </c>
      <c r="E696" s="6">
        <f>VALUE(2999)</f>
        <v>2999</v>
      </c>
      <c r="F696" s="5" t="s">
        <v>10</v>
      </c>
    </row>
    <row r="697" spans="1:6" ht="29">
      <c r="A697" s="1" t="s">
        <v>2091</v>
      </c>
      <c r="B697" s="4" t="s">
        <v>2092</v>
      </c>
      <c r="C697" s="3" t="s">
        <v>2093</v>
      </c>
      <c r="D697" s="5" t="s">
        <v>8</v>
      </c>
      <c r="E697" s="6">
        <f>VALUE(2249.25)</f>
        <v>2249.25</v>
      </c>
      <c r="F697" s="5" t="s">
        <v>10</v>
      </c>
    </row>
    <row r="698" spans="1:6" ht="43.5">
      <c r="A698" s="1" t="s">
        <v>2094</v>
      </c>
      <c r="B698" s="4" t="s">
        <v>2095</v>
      </c>
      <c r="C698" s="3" t="s">
        <v>2096</v>
      </c>
      <c r="D698" s="5" t="s">
        <v>8</v>
      </c>
      <c r="E698" s="6">
        <f>VALUE(2249.25)</f>
        <v>2249.25</v>
      </c>
      <c r="F698" s="5" t="s">
        <v>10</v>
      </c>
    </row>
    <row r="699" spans="1:6" ht="43.5">
      <c r="A699" s="1" t="s">
        <v>2097</v>
      </c>
      <c r="B699" s="4" t="s">
        <v>2098</v>
      </c>
      <c r="C699" s="3" t="s">
        <v>2099</v>
      </c>
      <c r="D699" s="5" t="s">
        <v>8</v>
      </c>
      <c r="E699" s="6">
        <f>VALUE(2999)</f>
        <v>2999</v>
      </c>
      <c r="F699" s="5" t="s">
        <v>10</v>
      </c>
    </row>
    <row r="700" spans="1:6" ht="29">
      <c r="A700" s="1" t="s">
        <v>2100</v>
      </c>
      <c r="B700" s="4" t="s">
        <v>2101</v>
      </c>
      <c r="C700" s="3" t="s">
        <v>2102</v>
      </c>
      <c r="D700" s="5" t="s">
        <v>8</v>
      </c>
      <c r="E700" s="6">
        <f>VALUE(2249.25)</f>
        <v>2249.25</v>
      </c>
      <c r="F700" s="5" t="s">
        <v>10</v>
      </c>
    </row>
    <row r="701" spans="1:6" ht="43.5">
      <c r="A701" s="1" t="s">
        <v>2103</v>
      </c>
      <c r="B701" s="4" t="s">
        <v>2104</v>
      </c>
      <c r="C701" s="3" t="s">
        <v>2105</v>
      </c>
      <c r="D701" s="5" t="s">
        <v>8</v>
      </c>
      <c r="E701" s="6">
        <f>VALUE(6449.25)</f>
        <v>6449.25</v>
      </c>
      <c r="F701" s="5" t="s">
        <v>10</v>
      </c>
    </row>
    <row r="702" spans="1:6" ht="43.5">
      <c r="A702" s="1" t="s">
        <v>2106</v>
      </c>
      <c r="B702" s="4" t="s">
        <v>2107</v>
      </c>
      <c r="C702" s="3" t="s">
        <v>2108</v>
      </c>
      <c r="D702" s="5" t="s">
        <v>8</v>
      </c>
      <c r="E702" s="6">
        <f>VALUE(8599)</f>
        <v>8599</v>
      </c>
      <c r="F702" s="5" t="s">
        <v>10</v>
      </c>
    </row>
    <row r="703" spans="1:6" ht="43.5">
      <c r="A703" s="1" t="s">
        <v>2109</v>
      </c>
      <c r="B703" s="4" t="s">
        <v>2110</v>
      </c>
      <c r="C703" s="3" t="s">
        <v>2111</v>
      </c>
      <c r="D703" s="5" t="s">
        <v>8</v>
      </c>
      <c r="E703" s="6">
        <f>VALUE(6449.25)</f>
        <v>6449.25</v>
      </c>
      <c r="F703" s="5" t="s">
        <v>10</v>
      </c>
    </row>
    <row r="704" spans="1:6" ht="29">
      <c r="A704" s="1" t="s">
        <v>2112</v>
      </c>
      <c r="B704" s="4" t="s">
        <v>2113</v>
      </c>
      <c r="C704" s="3" t="s">
        <v>2114</v>
      </c>
      <c r="D704" s="5" t="s">
        <v>8</v>
      </c>
      <c r="E704" s="6">
        <f>VALUE(2249.25)</f>
        <v>2249.25</v>
      </c>
      <c r="F704" s="5" t="s">
        <v>10</v>
      </c>
    </row>
    <row r="705" spans="1:6" ht="29">
      <c r="A705" s="1" t="s">
        <v>2115</v>
      </c>
      <c r="B705" s="4" t="s">
        <v>2116</v>
      </c>
      <c r="C705" s="3" t="s">
        <v>2117</v>
      </c>
      <c r="D705" s="5" t="s">
        <v>8</v>
      </c>
      <c r="E705" s="6">
        <f>VALUE(2699.25)</f>
        <v>2699.25</v>
      </c>
      <c r="F705" s="5" t="s">
        <v>10</v>
      </c>
    </row>
    <row r="706" spans="1:6" ht="29">
      <c r="A706" s="1" t="s">
        <v>2118</v>
      </c>
      <c r="B706" s="4" t="s">
        <v>2119</v>
      </c>
      <c r="C706" s="3" t="s">
        <v>2120</v>
      </c>
      <c r="D706" s="5" t="s">
        <v>8</v>
      </c>
      <c r="E706" s="6">
        <f>VALUE(3599)</f>
        <v>3599</v>
      </c>
      <c r="F706" s="5" t="s">
        <v>10</v>
      </c>
    </row>
    <row r="707" spans="1:6" ht="29">
      <c r="A707" s="1" t="s">
        <v>2121</v>
      </c>
      <c r="B707" s="4" t="s">
        <v>2122</v>
      </c>
      <c r="C707" s="3" t="s">
        <v>2123</v>
      </c>
      <c r="D707" s="5" t="s">
        <v>8</v>
      </c>
      <c r="E707" s="6">
        <f>VALUE(2699.25)</f>
        <v>2699.25</v>
      </c>
      <c r="F707" s="5" t="s">
        <v>10</v>
      </c>
    </row>
    <row r="708" spans="1:6" ht="29">
      <c r="A708" s="1" t="s">
        <v>2124</v>
      </c>
      <c r="B708" s="4" t="s">
        <v>2125</v>
      </c>
      <c r="C708" s="3" t="s">
        <v>2126</v>
      </c>
      <c r="D708" s="5" t="s">
        <v>8</v>
      </c>
      <c r="E708" s="6">
        <f>VALUE(2999)</f>
        <v>2999</v>
      </c>
      <c r="F708" s="5" t="s">
        <v>10</v>
      </c>
    </row>
    <row r="709" spans="1:6" ht="29">
      <c r="A709" s="1" t="s">
        <v>2127</v>
      </c>
      <c r="B709" s="4" t="s">
        <v>2128</v>
      </c>
      <c r="C709" s="3" t="s">
        <v>2129</v>
      </c>
      <c r="D709" s="5" t="s">
        <v>8</v>
      </c>
      <c r="E709" s="6">
        <f>VALUE(2249.25)</f>
        <v>2249.25</v>
      </c>
      <c r="F709" s="5" t="s">
        <v>10</v>
      </c>
    </row>
    <row r="710" spans="1:6" ht="29">
      <c r="A710" s="1" t="s">
        <v>2130</v>
      </c>
      <c r="B710" s="4" t="s">
        <v>2131</v>
      </c>
      <c r="C710" s="3" t="s">
        <v>2132</v>
      </c>
      <c r="D710" s="5" t="s">
        <v>8</v>
      </c>
      <c r="E710" s="6">
        <f>VALUE(29.25)</f>
        <v>29.25</v>
      </c>
      <c r="F710" s="5" t="s">
        <v>10</v>
      </c>
    </row>
    <row r="711" spans="1:6" ht="29">
      <c r="A711" s="1" t="s">
        <v>2133</v>
      </c>
      <c r="B711" s="4" t="s">
        <v>2134</v>
      </c>
      <c r="C711" s="3" t="s">
        <v>2135</v>
      </c>
      <c r="D711" s="5" t="s">
        <v>8</v>
      </c>
      <c r="E711" s="6">
        <f>VALUE(39)</f>
        <v>39</v>
      </c>
      <c r="F711" s="5" t="s">
        <v>10</v>
      </c>
    </row>
    <row r="712" spans="1:6" ht="29">
      <c r="A712" s="1" t="s">
        <v>2136</v>
      </c>
      <c r="B712" s="4" t="s">
        <v>2137</v>
      </c>
      <c r="C712" s="3" t="s">
        <v>2138</v>
      </c>
      <c r="D712" s="5" t="s">
        <v>8</v>
      </c>
      <c r="E712" s="6">
        <f>VALUE(29.25)</f>
        <v>29.25</v>
      </c>
      <c r="F712" s="5" t="s">
        <v>10</v>
      </c>
    </row>
    <row r="713" spans="1:6" ht="29">
      <c r="A713" s="1" t="s">
        <v>2139</v>
      </c>
      <c r="B713" s="4" t="s">
        <v>2140</v>
      </c>
      <c r="C713" s="3" t="s">
        <v>2141</v>
      </c>
      <c r="D713" s="5" t="s">
        <v>8</v>
      </c>
      <c r="E713" s="6">
        <f>VALUE(899.25)</f>
        <v>899.25</v>
      </c>
      <c r="F713" s="5" t="s">
        <v>10</v>
      </c>
    </row>
    <row r="714" spans="1:6" ht="29">
      <c r="A714" s="1" t="s">
        <v>2142</v>
      </c>
      <c r="B714" s="4" t="s">
        <v>2143</v>
      </c>
      <c r="C714" s="3" t="s">
        <v>2144</v>
      </c>
      <c r="D714" s="5" t="s">
        <v>8</v>
      </c>
      <c r="E714" s="6">
        <f>VALUE(1199)</f>
        <v>1199</v>
      </c>
      <c r="F714" s="5" t="s">
        <v>10</v>
      </c>
    </row>
    <row r="715" spans="1:6" ht="29">
      <c r="A715" s="1" t="s">
        <v>2145</v>
      </c>
      <c r="B715" s="4" t="s">
        <v>2146</v>
      </c>
      <c r="C715" s="3" t="s">
        <v>2147</v>
      </c>
      <c r="D715" s="5" t="s">
        <v>8</v>
      </c>
      <c r="E715" s="6">
        <f>VALUE(899.25)</f>
        <v>899.25</v>
      </c>
      <c r="F715" s="5" t="s">
        <v>10</v>
      </c>
    </row>
    <row r="716" spans="1:6" ht="29">
      <c r="A716" s="1" t="s">
        <v>2148</v>
      </c>
      <c r="B716" s="4" t="s">
        <v>2149</v>
      </c>
      <c r="C716" s="3" t="s">
        <v>2150</v>
      </c>
      <c r="D716" s="5" t="s">
        <v>8</v>
      </c>
      <c r="E716" s="6">
        <f>VALUE(899.25)</f>
        <v>899.25</v>
      </c>
      <c r="F716" s="5" t="s">
        <v>10</v>
      </c>
    </row>
    <row r="717" spans="1:6" ht="29">
      <c r="A717" s="1" t="s">
        <v>2151</v>
      </c>
      <c r="B717" s="4" t="s">
        <v>2152</v>
      </c>
      <c r="C717" s="3" t="s">
        <v>2153</v>
      </c>
      <c r="D717" s="5" t="s">
        <v>8</v>
      </c>
      <c r="E717" s="6">
        <f>VALUE(1199)</f>
        <v>1199</v>
      </c>
      <c r="F717" s="5" t="s">
        <v>10</v>
      </c>
    </row>
    <row r="718" spans="1:6" ht="29">
      <c r="A718" s="1" t="s">
        <v>2154</v>
      </c>
      <c r="B718" s="4" t="s">
        <v>2155</v>
      </c>
      <c r="C718" s="3" t="s">
        <v>2156</v>
      </c>
      <c r="D718" s="5" t="s">
        <v>8</v>
      </c>
      <c r="E718" s="6">
        <f>VALUE(899.25)</f>
        <v>899.25</v>
      </c>
      <c r="F718" s="5" t="s">
        <v>10</v>
      </c>
    </row>
    <row r="719" spans="1:6" ht="29">
      <c r="A719" s="1" t="s">
        <v>2157</v>
      </c>
      <c r="B719" s="4" t="s">
        <v>2158</v>
      </c>
      <c r="C719" s="3" t="s">
        <v>2159</v>
      </c>
      <c r="D719" s="5" t="s">
        <v>8</v>
      </c>
      <c r="E719" s="6">
        <f>VALUE(449.25)</f>
        <v>449.25</v>
      </c>
      <c r="F719" s="5" t="s">
        <v>10</v>
      </c>
    </row>
    <row r="720" spans="1:6" ht="29">
      <c r="A720" s="1" t="s">
        <v>2160</v>
      </c>
      <c r="B720" s="4" t="s">
        <v>2161</v>
      </c>
      <c r="C720" s="3" t="s">
        <v>2162</v>
      </c>
      <c r="D720" s="5" t="s">
        <v>8</v>
      </c>
      <c r="E720" s="6">
        <f>VALUE(599)</f>
        <v>599</v>
      </c>
      <c r="F720" s="5" t="s">
        <v>10</v>
      </c>
    </row>
    <row r="721" spans="1:6" ht="29">
      <c r="A721" s="1" t="s">
        <v>2163</v>
      </c>
      <c r="B721" s="4" t="s">
        <v>2164</v>
      </c>
      <c r="C721" s="3" t="s">
        <v>2165</v>
      </c>
      <c r="D721" s="5" t="s">
        <v>8</v>
      </c>
      <c r="E721" s="6">
        <f>VALUE(449.25)</f>
        <v>449.25</v>
      </c>
      <c r="F721" s="5" t="s">
        <v>10</v>
      </c>
    </row>
    <row r="722" spans="1:6" ht="43.5">
      <c r="A722" s="1" t="s">
        <v>2166</v>
      </c>
      <c r="B722" s="4" t="s">
        <v>2167</v>
      </c>
      <c r="C722" s="3" t="s">
        <v>2168</v>
      </c>
      <c r="D722" s="5" t="s">
        <v>8</v>
      </c>
      <c r="E722" s="6">
        <f>VALUE(449.25)</f>
        <v>449.25</v>
      </c>
      <c r="F722" s="5" t="s">
        <v>10</v>
      </c>
    </row>
    <row r="723" spans="1:6" ht="43.5">
      <c r="A723" s="1" t="s">
        <v>2169</v>
      </c>
      <c r="B723" s="4" t="s">
        <v>2170</v>
      </c>
      <c r="C723" s="3" t="s">
        <v>2171</v>
      </c>
      <c r="D723" s="5" t="s">
        <v>8</v>
      </c>
      <c r="E723" s="6">
        <f>VALUE(599)</f>
        <v>599</v>
      </c>
      <c r="F723" s="5" t="s">
        <v>10</v>
      </c>
    </row>
    <row r="724" spans="1:6" ht="29">
      <c r="A724" s="1" t="s">
        <v>2172</v>
      </c>
      <c r="B724" s="4" t="s">
        <v>2173</v>
      </c>
      <c r="C724" s="3" t="s">
        <v>2174</v>
      </c>
      <c r="D724" s="5" t="s">
        <v>8</v>
      </c>
      <c r="E724" s="6">
        <f>VALUE(449.25)</f>
        <v>449.25</v>
      </c>
      <c r="F724" s="5" t="s">
        <v>10</v>
      </c>
    </row>
    <row r="725" spans="1:6" ht="43.5">
      <c r="A725" s="1" t="s">
        <v>2175</v>
      </c>
      <c r="B725" s="4" t="s">
        <v>2176</v>
      </c>
      <c r="C725" s="3" t="s">
        <v>2177</v>
      </c>
      <c r="D725" s="5" t="s">
        <v>8</v>
      </c>
      <c r="E725" s="6">
        <f>VALUE(44.25)</f>
        <v>44.25</v>
      </c>
      <c r="F725" s="5" t="s">
        <v>10</v>
      </c>
    </row>
    <row r="726" spans="1:6" ht="43.5">
      <c r="A726" s="1" t="s">
        <v>2178</v>
      </c>
      <c r="B726" s="4" t="s">
        <v>2179</v>
      </c>
      <c r="C726" s="3" t="s">
        <v>2180</v>
      </c>
      <c r="D726" s="5" t="s">
        <v>8</v>
      </c>
      <c r="E726" s="6">
        <f>VALUE(59)</f>
        <v>59</v>
      </c>
      <c r="F726" s="5" t="s">
        <v>10</v>
      </c>
    </row>
    <row r="727" spans="1:6" ht="43.5">
      <c r="A727" s="1" t="s">
        <v>2181</v>
      </c>
      <c r="B727" s="4" t="s">
        <v>2182</v>
      </c>
      <c r="C727" s="3" t="s">
        <v>2183</v>
      </c>
      <c r="D727" s="5" t="s">
        <v>8</v>
      </c>
      <c r="E727" s="6">
        <f>VALUE(44.25)</f>
        <v>44.25</v>
      </c>
      <c r="F727" s="5" t="s">
        <v>10</v>
      </c>
    </row>
    <row r="728" spans="1:6" ht="43.5">
      <c r="A728" s="1" t="s">
        <v>2184</v>
      </c>
      <c r="B728" s="4" t="s">
        <v>2185</v>
      </c>
      <c r="C728" s="3" t="s">
        <v>2186</v>
      </c>
      <c r="D728" s="5" t="s">
        <v>8</v>
      </c>
      <c r="E728" s="6">
        <f>VALUE(449.25)</f>
        <v>449.25</v>
      </c>
      <c r="F728" s="5" t="s">
        <v>10</v>
      </c>
    </row>
    <row r="729" spans="1:6" ht="29">
      <c r="A729" s="1" t="s">
        <v>2187</v>
      </c>
      <c r="B729" s="4" t="s">
        <v>2188</v>
      </c>
      <c r="C729" s="3" t="s">
        <v>2189</v>
      </c>
      <c r="D729" s="5" t="s">
        <v>8</v>
      </c>
      <c r="E729" s="6">
        <f>VALUE(599)</f>
        <v>599</v>
      </c>
      <c r="F729" s="5" t="s">
        <v>10</v>
      </c>
    </row>
    <row r="730" spans="1:6" ht="29">
      <c r="A730" s="1" t="s">
        <v>2190</v>
      </c>
      <c r="B730" s="4" t="s">
        <v>2191</v>
      </c>
      <c r="C730" s="3" t="s">
        <v>2192</v>
      </c>
      <c r="D730" s="5" t="s">
        <v>8</v>
      </c>
      <c r="E730" s="6">
        <f>VALUE(449.25)</f>
        <v>449.25</v>
      </c>
      <c r="F730" s="5" t="s">
        <v>10</v>
      </c>
    </row>
    <row r="731" spans="1:6" ht="43.5">
      <c r="A731" s="1" t="s">
        <v>2193</v>
      </c>
      <c r="B731" s="4" t="s">
        <v>2194</v>
      </c>
      <c r="C731" s="3" t="s">
        <v>2195</v>
      </c>
      <c r="D731" s="5" t="s">
        <v>8</v>
      </c>
      <c r="E731" s="6">
        <f>VALUE(449.25)</f>
        <v>449.25</v>
      </c>
      <c r="F731" s="5" t="s">
        <v>10</v>
      </c>
    </row>
    <row r="732" spans="1:6" ht="43.5">
      <c r="A732" s="1" t="s">
        <v>2196</v>
      </c>
      <c r="B732" s="4" t="s">
        <v>2197</v>
      </c>
      <c r="C732" s="3" t="s">
        <v>2198</v>
      </c>
      <c r="D732" s="5" t="s">
        <v>8</v>
      </c>
      <c r="E732" s="6">
        <f>VALUE(599)</f>
        <v>599</v>
      </c>
      <c r="F732" s="5" t="s">
        <v>10</v>
      </c>
    </row>
    <row r="733" spans="1:6" ht="29">
      <c r="A733" s="1" t="s">
        <v>2199</v>
      </c>
      <c r="B733" s="4" t="s">
        <v>2200</v>
      </c>
      <c r="C733" s="3" t="s">
        <v>2201</v>
      </c>
      <c r="D733" s="5" t="s">
        <v>8</v>
      </c>
      <c r="E733" s="6">
        <f>VALUE(449.25)</f>
        <v>449.25</v>
      </c>
      <c r="F733" s="5" t="s">
        <v>10</v>
      </c>
    </row>
    <row r="734" spans="1:6" ht="43.5">
      <c r="A734" s="1" t="s">
        <v>2202</v>
      </c>
      <c r="B734" s="4" t="s">
        <v>2203</v>
      </c>
      <c r="C734" s="3" t="s">
        <v>2204</v>
      </c>
      <c r="D734" s="5" t="s">
        <v>8</v>
      </c>
      <c r="E734" s="6">
        <f>VALUE(524.25)</f>
        <v>524.25</v>
      </c>
      <c r="F734" s="5" t="s">
        <v>10</v>
      </c>
    </row>
    <row r="735" spans="1:6" ht="43.5">
      <c r="A735" s="1" t="s">
        <v>2205</v>
      </c>
      <c r="B735" s="4" t="s">
        <v>2206</v>
      </c>
      <c r="C735" s="3" t="s">
        <v>2207</v>
      </c>
      <c r="D735" s="5" t="s">
        <v>8</v>
      </c>
      <c r="E735" s="6">
        <f>VALUE(699)</f>
        <v>699</v>
      </c>
      <c r="F735" s="5" t="s">
        <v>10</v>
      </c>
    </row>
    <row r="736" spans="1:6" ht="43.5">
      <c r="A736" s="1" t="s">
        <v>2208</v>
      </c>
      <c r="B736" s="4" t="s">
        <v>2209</v>
      </c>
      <c r="C736" s="3" t="s">
        <v>2210</v>
      </c>
      <c r="D736" s="5" t="s">
        <v>8</v>
      </c>
      <c r="E736" s="6">
        <f>VALUE(524.25)</f>
        <v>524.25</v>
      </c>
      <c r="F736" s="5" t="s">
        <v>10</v>
      </c>
    </row>
    <row r="737" spans="1:6" ht="43.5">
      <c r="A737" s="1" t="s">
        <v>2211</v>
      </c>
      <c r="B737" s="4" t="s">
        <v>2212</v>
      </c>
      <c r="C737" s="3" t="s">
        <v>2213</v>
      </c>
      <c r="D737" s="5" t="s">
        <v>8</v>
      </c>
      <c r="E737" s="6">
        <f>VALUE(2249.25)</f>
        <v>2249.25</v>
      </c>
      <c r="F737" s="5" t="s">
        <v>10</v>
      </c>
    </row>
    <row r="738" spans="1:6" ht="43.5">
      <c r="A738" s="1" t="s">
        <v>2214</v>
      </c>
      <c r="B738" s="4" t="s">
        <v>2215</v>
      </c>
      <c r="C738" s="3" t="s">
        <v>2216</v>
      </c>
      <c r="D738" s="5" t="s">
        <v>8</v>
      </c>
      <c r="E738" s="6">
        <f>VALUE(2999)</f>
        <v>2999</v>
      </c>
      <c r="F738" s="5" t="s">
        <v>10</v>
      </c>
    </row>
    <row r="739" spans="1:6" ht="43.5">
      <c r="A739" s="1" t="s">
        <v>2217</v>
      </c>
      <c r="B739" s="4" t="s">
        <v>2218</v>
      </c>
      <c r="C739" s="3" t="s">
        <v>2219</v>
      </c>
      <c r="D739" s="5" t="s">
        <v>8</v>
      </c>
      <c r="E739" s="6">
        <f>VALUE(2249.25)</f>
        <v>2249.25</v>
      </c>
      <c r="F739" s="5" t="s">
        <v>10</v>
      </c>
    </row>
    <row r="740" spans="1:6" ht="43.5">
      <c r="A740" s="1" t="s">
        <v>2220</v>
      </c>
      <c r="B740" s="4" t="s">
        <v>2221</v>
      </c>
      <c r="C740" s="3" t="s">
        <v>2222</v>
      </c>
      <c r="D740" s="5" t="s">
        <v>8</v>
      </c>
      <c r="E740" s="6">
        <f>VALUE(1947)</f>
        <v>1947</v>
      </c>
      <c r="F740" s="5" t="s">
        <v>10</v>
      </c>
    </row>
    <row r="741" spans="1:6" ht="43.5">
      <c r="A741" s="1" t="s">
        <v>2223</v>
      </c>
      <c r="B741" s="4" t="s">
        <v>2224</v>
      </c>
      <c r="C741" s="3" t="s">
        <v>2225</v>
      </c>
      <c r="D741" s="5" t="s">
        <v>8</v>
      </c>
      <c r="E741" s="6">
        <f>VALUE(2596)</f>
        <v>2596</v>
      </c>
      <c r="F741" s="5" t="s">
        <v>10</v>
      </c>
    </row>
    <row r="742" spans="1:6" ht="43.5">
      <c r="A742" s="1" t="s">
        <v>2226</v>
      </c>
      <c r="B742" s="4" t="s">
        <v>2227</v>
      </c>
      <c r="C742" s="3" t="s">
        <v>2228</v>
      </c>
      <c r="D742" s="5" t="s">
        <v>8</v>
      </c>
      <c r="E742" s="6">
        <f>VALUE(1947)</f>
        <v>1947</v>
      </c>
      <c r="F742" s="5" t="s">
        <v>10</v>
      </c>
    </row>
    <row r="743" spans="1:6" ht="43.5">
      <c r="A743" s="1" t="s">
        <v>2229</v>
      </c>
      <c r="B743" s="4" t="s">
        <v>2230</v>
      </c>
      <c r="C743" s="3" t="s">
        <v>2231</v>
      </c>
      <c r="D743" s="5" t="s">
        <v>8</v>
      </c>
      <c r="E743" s="6">
        <f>VALUE(2247)</f>
        <v>2247</v>
      </c>
      <c r="F743" s="5" t="s">
        <v>10</v>
      </c>
    </row>
    <row r="744" spans="1:6" ht="43.5">
      <c r="A744" s="1" t="s">
        <v>2232</v>
      </c>
      <c r="B744" s="4" t="s">
        <v>2233</v>
      </c>
      <c r="C744" s="3" t="s">
        <v>2234</v>
      </c>
      <c r="D744" s="5" t="s">
        <v>8</v>
      </c>
      <c r="E744" s="6">
        <f>VALUE(2996)</f>
        <v>2996</v>
      </c>
      <c r="F744" s="5" t="s">
        <v>10</v>
      </c>
    </row>
    <row r="745" spans="1:6" ht="43.5">
      <c r="A745" s="1" t="s">
        <v>2235</v>
      </c>
      <c r="B745" s="4" t="s">
        <v>2236</v>
      </c>
      <c r="C745" s="3" t="s">
        <v>2237</v>
      </c>
      <c r="D745" s="5" t="s">
        <v>8</v>
      </c>
      <c r="E745" s="6">
        <f>VALUE(2247)</f>
        <v>2247</v>
      </c>
      <c r="F745" s="5" t="s">
        <v>10</v>
      </c>
    </row>
    <row r="746" spans="1:6" ht="43.5">
      <c r="A746" s="1" t="s">
        <v>2238</v>
      </c>
      <c r="B746" s="4" t="s">
        <v>2239</v>
      </c>
      <c r="C746" s="3" t="s">
        <v>2240</v>
      </c>
      <c r="D746" s="5" t="s">
        <v>8</v>
      </c>
      <c r="E746" s="6">
        <f>VALUE(2697)</f>
        <v>2697</v>
      </c>
      <c r="F746" s="5" t="s">
        <v>10</v>
      </c>
    </row>
    <row r="747" spans="1:6" ht="43.5">
      <c r="A747" s="1" t="s">
        <v>2241</v>
      </c>
      <c r="B747" s="4" t="s">
        <v>2242</v>
      </c>
      <c r="C747" s="3" t="s">
        <v>2243</v>
      </c>
      <c r="D747" s="5" t="s">
        <v>8</v>
      </c>
      <c r="E747" s="6">
        <f>VALUE(3596)</f>
        <v>3596</v>
      </c>
      <c r="F747" s="5" t="s">
        <v>10</v>
      </c>
    </row>
    <row r="748" spans="1:6" ht="43.5">
      <c r="A748" s="1" t="s">
        <v>2244</v>
      </c>
      <c r="B748" s="4" t="s">
        <v>2245</v>
      </c>
      <c r="C748" s="3" t="s">
        <v>2246</v>
      </c>
      <c r="D748" s="5" t="s">
        <v>8</v>
      </c>
      <c r="E748" s="6">
        <f>VALUE(2697)</f>
        <v>2697</v>
      </c>
      <c r="F748" s="5" t="s">
        <v>10</v>
      </c>
    </row>
    <row r="749" spans="1:6" ht="43.5">
      <c r="A749" s="1" t="s">
        <v>2247</v>
      </c>
      <c r="B749" s="4" t="s">
        <v>2248</v>
      </c>
      <c r="C749" s="3" t="s">
        <v>2249</v>
      </c>
      <c r="D749" s="5" t="s">
        <v>8</v>
      </c>
      <c r="E749" s="6">
        <f>VALUE(1949.25)</f>
        <v>1949.25</v>
      </c>
      <c r="F749" s="5" t="s">
        <v>10</v>
      </c>
    </row>
    <row r="750" spans="1:6" ht="43.5">
      <c r="A750" s="1" t="s">
        <v>2250</v>
      </c>
      <c r="B750" s="4" t="s">
        <v>2251</v>
      </c>
      <c r="C750" s="3" t="s">
        <v>2252</v>
      </c>
      <c r="D750" s="5" t="s">
        <v>8</v>
      </c>
      <c r="E750" s="6">
        <f>VALUE(2249.25)</f>
        <v>2249.25</v>
      </c>
      <c r="F750" s="5" t="s">
        <v>10</v>
      </c>
    </row>
    <row r="751" spans="1:6" ht="43.5">
      <c r="A751" s="1" t="s">
        <v>2253</v>
      </c>
      <c r="B751" s="4" t="s">
        <v>2254</v>
      </c>
      <c r="C751" s="3" t="s">
        <v>2255</v>
      </c>
      <c r="D751" s="5" t="s">
        <v>8</v>
      </c>
      <c r="E751" s="6">
        <f>VALUE(2999)</f>
        <v>2999</v>
      </c>
      <c r="F751" s="5" t="s">
        <v>10</v>
      </c>
    </row>
    <row r="752" spans="1:6" ht="43.5">
      <c r="A752" s="1" t="s">
        <v>2256</v>
      </c>
      <c r="B752" s="4" t="s">
        <v>2257</v>
      </c>
      <c r="C752" s="3" t="s">
        <v>2258</v>
      </c>
      <c r="D752" s="5" t="s">
        <v>8</v>
      </c>
      <c r="E752" s="6">
        <f>VALUE(2249.25)</f>
        <v>2249.25</v>
      </c>
      <c r="F752" s="5" t="s">
        <v>10</v>
      </c>
    </row>
    <row r="753" spans="1:6" ht="43.5">
      <c r="A753" s="1" t="s">
        <v>2259</v>
      </c>
      <c r="B753" s="4" t="s">
        <v>2260</v>
      </c>
      <c r="C753" s="3" t="s">
        <v>2261</v>
      </c>
      <c r="D753" s="5" t="s">
        <v>8</v>
      </c>
      <c r="E753" s="6">
        <f>VALUE(2599)</f>
        <v>2599</v>
      </c>
      <c r="F753" s="5" t="s">
        <v>10</v>
      </c>
    </row>
    <row r="754" spans="1:6" ht="29">
      <c r="A754" s="1" t="s">
        <v>2262</v>
      </c>
      <c r="B754" s="4" t="s">
        <v>2263</v>
      </c>
      <c r="C754" s="3" t="s">
        <v>2264</v>
      </c>
      <c r="D754" s="5" t="s">
        <v>8</v>
      </c>
      <c r="E754" s="6">
        <f>VALUE(1949.25)</f>
        <v>1949.25</v>
      </c>
      <c r="F754" s="5" t="s">
        <v>10</v>
      </c>
    </row>
    <row r="755" spans="1:6" ht="43.5">
      <c r="A755" s="1" t="s">
        <v>2265</v>
      </c>
      <c r="B755" s="4" t="s">
        <v>2266</v>
      </c>
      <c r="C755" s="3" t="s">
        <v>2267</v>
      </c>
      <c r="D755" s="5" t="s">
        <v>8</v>
      </c>
      <c r="E755" s="6">
        <f>VALUE(2399.25)</f>
        <v>2399.25</v>
      </c>
      <c r="F755" s="5" t="s">
        <v>10</v>
      </c>
    </row>
    <row r="756" spans="1:6" ht="43.5">
      <c r="A756" s="1" t="s">
        <v>2268</v>
      </c>
      <c r="B756" s="4" t="s">
        <v>2269</v>
      </c>
      <c r="C756" s="3" t="s">
        <v>2270</v>
      </c>
      <c r="D756" s="5" t="s">
        <v>8</v>
      </c>
      <c r="E756" s="6">
        <f>VALUE(2699.25)</f>
        <v>2699.25</v>
      </c>
      <c r="F756" s="5" t="s">
        <v>10</v>
      </c>
    </row>
    <row r="757" spans="1:6" ht="43.5">
      <c r="A757" s="1" t="s">
        <v>2271</v>
      </c>
      <c r="B757" s="4" t="s">
        <v>2272</v>
      </c>
      <c r="C757" s="3" t="s">
        <v>2273</v>
      </c>
      <c r="D757" s="5" t="s">
        <v>8</v>
      </c>
      <c r="E757" s="6">
        <f>VALUE(3599)</f>
        <v>3599</v>
      </c>
      <c r="F757" s="5" t="s">
        <v>10</v>
      </c>
    </row>
    <row r="758" spans="1:6" ht="43.5">
      <c r="A758" s="1" t="s">
        <v>2274</v>
      </c>
      <c r="B758" s="4" t="s">
        <v>2275</v>
      </c>
      <c r="C758" s="3" t="s">
        <v>2276</v>
      </c>
      <c r="D758" s="5" t="s">
        <v>8</v>
      </c>
      <c r="E758" s="6">
        <f>VALUE(2699.25)</f>
        <v>2699.25</v>
      </c>
      <c r="F758" s="5" t="s">
        <v>10</v>
      </c>
    </row>
    <row r="759" spans="1:6" ht="43.5">
      <c r="A759" s="1" t="s">
        <v>2277</v>
      </c>
      <c r="B759" s="4" t="s">
        <v>2278</v>
      </c>
      <c r="C759" s="3" t="s">
        <v>2279</v>
      </c>
      <c r="D759" s="5" t="s">
        <v>8</v>
      </c>
      <c r="E759" s="6">
        <f>VALUE(3199)</f>
        <v>3199</v>
      </c>
      <c r="F759" s="5" t="s">
        <v>10</v>
      </c>
    </row>
    <row r="760" spans="1:6" ht="43.5">
      <c r="A760" s="1" t="s">
        <v>2280</v>
      </c>
      <c r="B760" s="4" t="s">
        <v>2281</v>
      </c>
      <c r="C760" s="3" t="s">
        <v>2282</v>
      </c>
      <c r="D760" s="5" t="s">
        <v>8</v>
      </c>
      <c r="E760" s="6">
        <f>VALUE(2399.25)</f>
        <v>2399.25</v>
      </c>
      <c r="F760" s="5" t="s">
        <v>10</v>
      </c>
    </row>
    <row r="761" spans="1:6" ht="43.5">
      <c r="A761" s="1" t="s">
        <v>2283</v>
      </c>
      <c r="B761" s="4" t="s">
        <v>2284</v>
      </c>
      <c r="C761" s="3" t="s">
        <v>2285</v>
      </c>
      <c r="D761" s="5" t="s">
        <v>8</v>
      </c>
      <c r="E761" s="6">
        <f>VALUE(4499.25)</f>
        <v>4499.25</v>
      </c>
      <c r="F761" s="5" t="s">
        <v>10</v>
      </c>
    </row>
    <row r="762" spans="1:6" ht="43.5">
      <c r="A762" s="1" t="s">
        <v>2286</v>
      </c>
      <c r="B762" s="4" t="s">
        <v>2287</v>
      </c>
      <c r="C762" s="3" t="s">
        <v>2288</v>
      </c>
      <c r="D762" s="5" t="s">
        <v>8</v>
      </c>
      <c r="E762" s="6">
        <f>VALUE(4799.25)</f>
        <v>4799.25</v>
      </c>
      <c r="F762" s="5" t="s">
        <v>10</v>
      </c>
    </row>
    <row r="763" spans="1:6" ht="43.5">
      <c r="A763" s="1" t="s">
        <v>2289</v>
      </c>
      <c r="B763" s="4" t="s">
        <v>2290</v>
      </c>
      <c r="C763" s="3" t="s">
        <v>2291</v>
      </c>
      <c r="D763" s="5" t="s">
        <v>8</v>
      </c>
      <c r="E763" s="6">
        <f>VALUE(6399)</f>
        <v>6399</v>
      </c>
      <c r="F763" s="5" t="s">
        <v>10</v>
      </c>
    </row>
    <row r="764" spans="1:6" ht="43.5">
      <c r="A764" s="1" t="s">
        <v>2292</v>
      </c>
      <c r="B764" s="4" t="s">
        <v>2293</v>
      </c>
      <c r="C764" s="3" t="s">
        <v>2294</v>
      </c>
      <c r="D764" s="5" t="s">
        <v>8</v>
      </c>
      <c r="E764" s="6">
        <f>VALUE(4799.25)</f>
        <v>4799.25</v>
      </c>
      <c r="F764" s="5" t="s">
        <v>10</v>
      </c>
    </row>
    <row r="765" spans="1:6" ht="43.5">
      <c r="A765" s="1" t="s">
        <v>2295</v>
      </c>
      <c r="B765" s="4" t="s">
        <v>2296</v>
      </c>
      <c r="C765" s="3" t="s">
        <v>2297</v>
      </c>
      <c r="D765" s="5" t="s">
        <v>8</v>
      </c>
      <c r="E765" s="6">
        <f>VALUE(5999)</f>
        <v>5999</v>
      </c>
      <c r="F765" s="5" t="s">
        <v>10</v>
      </c>
    </row>
    <row r="766" spans="1:6" ht="43.5">
      <c r="A766" s="1" t="s">
        <v>2298</v>
      </c>
      <c r="B766" s="4" t="s">
        <v>2299</v>
      </c>
      <c r="C766" s="3" t="s">
        <v>2300</v>
      </c>
      <c r="D766" s="5" t="s">
        <v>8</v>
      </c>
      <c r="E766" s="6">
        <f>VALUE(4499.25)</f>
        <v>4499.25</v>
      </c>
      <c r="F766" s="5" t="s">
        <v>10</v>
      </c>
    </row>
    <row r="767" spans="1:6" ht="43.5">
      <c r="A767" s="1" t="s">
        <v>2301</v>
      </c>
      <c r="B767" s="4" t="s">
        <v>2302</v>
      </c>
      <c r="C767" s="3" t="s">
        <v>2303</v>
      </c>
      <c r="D767" s="5" t="s">
        <v>8</v>
      </c>
      <c r="E767" s="6">
        <f>VALUE(2549.25)</f>
        <v>2549.25</v>
      </c>
      <c r="F767" s="5" t="s">
        <v>10</v>
      </c>
    </row>
    <row r="768" spans="1:6" ht="43.5">
      <c r="A768" s="1" t="s">
        <v>2304</v>
      </c>
      <c r="B768" s="4" t="s">
        <v>2305</v>
      </c>
      <c r="C768" s="3" t="s">
        <v>2306</v>
      </c>
      <c r="D768" s="5" t="s">
        <v>8</v>
      </c>
      <c r="E768" s="6">
        <f>VALUE(2999.25)</f>
        <v>2999.25</v>
      </c>
      <c r="F768" s="5" t="s">
        <v>10</v>
      </c>
    </row>
    <row r="769" spans="1:6" ht="43.5">
      <c r="A769" s="1" t="s">
        <v>2307</v>
      </c>
      <c r="B769" s="4" t="s">
        <v>2308</v>
      </c>
      <c r="C769" s="3" t="s">
        <v>2309</v>
      </c>
      <c r="D769" s="5" t="s">
        <v>8</v>
      </c>
      <c r="E769" s="6">
        <f>VALUE(3999)</f>
        <v>3999</v>
      </c>
      <c r="F769" s="5" t="s">
        <v>10</v>
      </c>
    </row>
    <row r="770" spans="1:6" ht="43.5">
      <c r="A770" s="1" t="s">
        <v>2310</v>
      </c>
      <c r="B770" s="4" t="s">
        <v>2311</v>
      </c>
      <c r="C770" s="3" t="s">
        <v>2312</v>
      </c>
      <c r="D770" s="5" t="s">
        <v>8</v>
      </c>
      <c r="E770" s="6">
        <f>VALUE(2999.25)</f>
        <v>2999.25</v>
      </c>
      <c r="F770" s="5" t="s">
        <v>10</v>
      </c>
    </row>
    <row r="771" spans="1:6" ht="43.5">
      <c r="A771" s="1" t="s">
        <v>2313</v>
      </c>
      <c r="B771" s="4" t="s">
        <v>2314</v>
      </c>
      <c r="C771" s="3" t="s">
        <v>2315</v>
      </c>
      <c r="D771" s="5" t="s">
        <v>8</v>
      </c>
      <c r="E771" s="6">
        <f>VALUE(3399)</f>
        <v>3399</v>
      </c>
      <c r="F771" s="5" t="s">
        <v>10</v>
      </c>
    </row>
    <row r="772" spans="1:6" ht="43.5">
      <c r="A772" s="1" t="s">
        <v>2316</v>
      </c>
      <c r="B772" s="4" t="s">
        <v>2317</v>
      </c>
      <c r="C772" s="3" t="s">
        <v>2318</v>
      </c>
      <c r="D772" s="5" t="s">
        <v>8</v>
      </c>
      <c r="E772" s="6">
        <f>VALUE(2549.25)</f>
        <v>2549.25</v>
      </c>
      <c r="F772" s="5" t="s">
        <v>10</v>
      </c>
    </row>
    <row r="773" spans="1:6" ht="43.5">
      <c r="A773" s="1" t="s">
        <v>2319</v>
      </c>
      <c r="B773" s="4" t="s">
        <v>2320</v>
      </c>
      <c r="C773" s="3" t="s">
        <v>2321</v>
      </c>
      <c r="D773" s="5" t="s">
        <v>8</v>
      </c>
      <c r="E773" s="6">
        <f>VALUE(2999.25)</f>
        <v>2999.25</v>
      </c>
      <c r="F773" s="5" t="s">
        <v>10</v>
      </c>
    </row>
    <row r="774" spans="1:6" ht="43.5">
      <c r="A774" s="1" t="s">
        <v>2322</v>
      </c>
      <c r="B774" s="4" t="s">
        <v>2323</v>
      </c>
      <c r="C774" s="3" t="s">
        <v>2324</v>
      </c>
      <c r="D774" s="5" t="s">
        <v>8</v>
      </c>
      <c r="E774" s="6">
        <f>VALUE(3449.25)</f>
        <v>3449.25</v>
      </c>
      <c r="F774" s="5" t="s">
        <v>10</v>
      </c>
    </row>
    <row r="775" spans="1:6" ht="43.5">
      <c r="A775" s="1" t="s">
        <v>2325</v>
      </c>
      <c r="B775" s="4" t="s">
        <v>2326</v>
      </c>
      <c r="C775" s="3" t="s">
        <v>2327</v>
      </c>
      <c r="D775" s="5" t="s">
        <v>8</v>
      </c>
      <c r="E775" s="6">
        <f>VALUE(4599)</f>
        <v>4599</v>
      </c>
      <c r="F775" s="5" t="s">
        <v>10</v>
      </c>
    </row>
    <row r="776" spans="1:6" ht="43.5">
      <c r="A776" s="1" t="s">
        <v>2328</v>
      </c>
      <c r="B776" s="4" t="s">
        <v>2329</v>
      </c>
      <c r="C776" s="3" t="s">
        <v>2330</v>
      </c>
      <c r="D776" s="5" t="s">
        <v>8</v>
      </c>
      <c r="E776" s="6">
        <f>VALUE(3449.25)</f>
        <v>3449.25</v>
      </c>
      <c r="F776" s="5" t="s">
        <v>10</v>
      </c>
    </row>
    <row r="777" spans="1:6" ht="43.5">
      <c r="A777" s="1" t="s">
        <v>2331</v>
      </c>
      <c r="B777" s="4" t="s">
        <v>2332</v>
      </c>
      <c r="C777" s="3" t="s">
        <v>2333</v>
      </c>
      <c r="D777" s="5" t="s">
        <v>8</v>
      </c>
      <c r="E777" s="6">
        <f>VALUE(3999)</f>
        <v>3999</v>
      </c>
      <c r="F777" s="5" t="s">
        <v>10</v>
      </c>
    </row>
    <row r="778" spans="1:6" ht="43.5">
      <c r="A778" s="1" t="s">
        <v>2334</v>
      </c>
      <c r="B778" s="4" t="s">
        <v>2335</v>
      </c>
      <c r="C778" s="3" t="s">
        <v>2336</v>
      </c>
      <c r="D778" s="5" t="s">
        <v>8</v>
      </c>
      <c r="E778" s="6">
        <f>VALUE(2999.25)</f>
        <v>2999.25</v>
      </c>
      <c r="F778" s="5" t="s">
        <v>10</v>
      </c>
    </row>
    <row r="779" spans="1:6" ht="43.5">
      <c r="A779" s="1" t="s">
        <v>2337</v>
      </c>
      <c r="B779" s="4" t="s">
        <v>2338</v>
      </c>
      <c r="C779" s="3" t="s">
        <v>2339</v>
      </c>
      <c r="D779" s="5" t="s">
        <v>8</v>
      </c>
      <c r="E779" s="6">
        <f>VALUE(5999.25)</f>
        <v>5999.25</v>
      </c>
      <c r="F779" s="5" t="s">
        <v>10</v>
      </c>
    </row>
    <row r="780" spans="1:6" ht="43.5">
      <c r="A780" s="1" t="s">
        <v>2340</v>
      </c>
      <c r="B780" s="4" t="s">
        <v>2341</v>
      </c>
      <c r="C780" s="3" t="s">
        <v>2342</v>
      </c>
      <c r="D780" s="5" t="s">
        <v>8</v>
      </c>
      <c r="E780" s="6">
        <f>VALUE(6449.25)</f>
        <v>6449.25</v>
      </c>
      <c r="F780" s="5" t="s">
        <v>10</v>
      </c>
    </row>
    <row r="781" spans="1:6" ht="43.5">
      <c r="A781" s="1" t="s">
        <v>2343</v>
      </c>
      <c r="B781" s="4" t="s">
        <v>2344</v>
      </c>
      <c r="C781" s="3" t="s">
        <v>2345</v>
      </c>
      <c r="D781" s="5" t="s">
        <v>8</v>
      </c>
      <c r="E781" s="6">
        <f>VALUE(8599)</f>
        <v>8599</v>
      </c>
      <c r="F781" s="5" t="s">
        <v>10</v>
      </c>
    </row>
    <row r="782" spans="1:6" ht="43.5">
      <c r="A782" s="1" t="s">
        <v>2346</v>
      </c>
      <c r="B782" s="4" t="s">
        <v>2347</v>
      </c>
      <c r="C782" s="3" t="s">
        <v>2348</v>
      </c>
      <c r="D782" s="5" t="s">
        <v>8</v>
      </c>
      <c r="E782" s="6">
        <f>VALUE(6449.25)</f>
        <v>6449.25</v>
      </c>
      <c r="F782" s="5" t="s">
        <v>10</v>
      </c>
    </row>
    <row r="783" spans="1:6" ht="43.5">
      <c r="A783" s="1" t="s">
        <v>2349</v>
      </c>
      <c r="B783" s="4" t="s">
        <v>2350</v>
      </c>
      <c r="C783" s="3" t="s">
        <v>2351</v>
      </c>
      <c r="D783" s="5" t="s">
        <v>8</v>
      </c>
      <c r="E783" s="6">
        <f>VALUE(7999)</f>
        <v>7999</v>
      </c>
      <c r="F783" s="5" t="s">
        <v>10</v>
      </c>
    </row>
    <row r="784" spans="1:6" ht="43.5">
      <c r="A784" s="1" t="s">
        <v>2352</v>
      </c>
      <c r="B784" s="4" t="s">
        <v>2353</v>
      </c>
      <c r="C784" s="3" t="s">
        <v>2354</v>
      </c>
      <c r="D784" s="5" t="s">
        <v>8</v>
      </c>
      <c r="E784" s="6">
        <f>VALUE(5999.25)</f>
        <v>5999.25</v>
      </c>
      <c r="F784" s="5" t="s">
        <v>10</v>
      </c>
    </row>
    <row r="785" spans="1:6" ht="43.5">
      <c r="A785" s="1" t="s">
        <v>2355</v>
      </c>
      <c r="B785" s="4" t="s">
        <v>2356</v>
      </c>
      <c r="C785" s="3" t="s">
        <v>2357</v>
      </c>
      <c r="D785" s="5" t="s">
        <v>8</v>
      </c>
      <c r="E785" s="6">
        <f>VALUE(2999.25)</f>
        <v>2999.25</v>
      </c>
      <c r="F785" s="5" t="s">
        <v>10</v>
      </c>
    </row>
    <row r="786" spans="1:6" ht="43.5">
      <c r="A786" s="1" t="s">
        <v>2358</v>
      </c>
      <c r="B786" s="4" t="s">
        <v>2359</v>
      </c>
      <c r="C786" s="3" t="s">
        <v>2360</v>
      </c>
      <c r="D786" s="5" t="s">
        <v>8</v>
      </c>
      <c r="E786" s="6">
        <f>VALUE(3449.25)</f>
        <v>3449.25</v>
      </c>
      <c r="F786" s="5" t="s">
        <v>10</v>
      </c>
    </row>
    <row r="787" spans="1:6" ht="43.5">
      <c r="A787" s="1" t="s">
        <v>2361</v>
      </c>
      <c r="B787" s="4" t="s">
        <v>2362</v>
      </c>
      <c r="C787" s="3" t="s">
        <v>2363</v>
      </c>
      <c r="D787" s="5" t="s">
        <v>8</v>
      </c>
      <c r="E787" s="6">
        <f>VALUE(4599)</f>
        <v>4599</v>
      </c>
      <c r="F787" s="5" t="s">
        <v>10</v>
      </c>
    </row>
    <row r="788" spans="1:6" ht="43.5">
      <c r="A788" s="1" t="s">
        <v>2364</v>
      </c>
      <c r="B788" s="4" t="s">
        <v>2365</v>
      </c>
      <c r="C788" s="3" t="s">
        <v>2366</v>
      </c>
      <c r="D788" s="5" t="s">
        <v>8</v>
      </c>
      <c r="E788" s="6">
        <f>VALUE(3449.25)</f>
        <v>3449.25</v>
      </c>
      <c r="F788" s="5" t="s">
        <v>10</v>
      </c>
    </row>
    <row r="789" spans="1:6" ht="43.5">
      <c r="A789" s="1" t="s">
        <v>2367</v>
      </c>
      <c r="B789" s="4" t="s">
        <v>2368</v>
      </c>
      <c r="C789" s="3" t="s">
        <v>2369</v>
      </c>
      <c r="D789" s="5" t="s">
        <v>8</v>
      </c>
      <c r="E789" s="6">
        <f>VALUE(3999)</f>
        <v>3999</v>
      </c>
      <c r="F789" s="5" t="s">
        <v>10</v>
      </c>
    </row>
    <row r="790" spans="1:6" ht="43.5">
      <c r="A790" s="1" t="s">
        <v>2370</v>
      </c>
      <c r="B790" s="4" t="s">
        <v>2371</v>
      </c>
      <c r="C790" s="3" t="s">
        <v>2372</v>
      </c>
      <c r="D790" s="5" t="s">
        <v>8</v>
      </c>
      <c r="E790" s="6">
        <f>VALUE(2999.25)</f>
        <v>2999.25</v>
      </c>
      <c r="F790" s="5" t="s">
        <v>10</v>
      </c>
    </row>
    <row r="791" spans="1:6" ht="29">
      <c r="A791" s="1" t="s">
        <v>2373</v>
      </c>
      <c r="B791" s="4" t="s">
        <v>2374</v>
      </c>
      <c r="C791" s="3" t="s">
        <v>2375</v>
      </c>
      <c r="D791" s="5" t="s">
        <v>8</v>
      </c>
      <c r="E791" s="6">
        <f>VALUE(449.25)</f>
        <v>449.25</v>
      </c>
      <c r="F791" s="5" t="s">
        <v>10</v>
      </c>
    </row>
    <row r="792" spans="1:6" ht="29">
      <c r="A792" s="1" t="s">
        <v>2376</v>
      </c>
      <c r="B792" s="4" t="s">
        <v>2377</v>
      </c>
      <c r="C792" s="3" t="s">
        <v>2378</v>
      </c>
      <c r="D792" s="5" t="s">
        <v>8</v>
      </c>
      <c r="E792" s="6">
        <f>VALUE(599)</f>
        <v>599</v>
      </c>
      <c r="F792" s="5" t="s">
        <v>10</v>
      </c>
    </row>
    <row r="793" spans="1:6" ht="29">
      <c r="A793" s="1" t="s">
        <v>2379</v>
      </c>
      <c r="B793" s="4" t="s">
        <v>2380</v>
      </c>
      <c r="C793" s="3" t="s">
        <v>2381</v>
      </c>
      <c r="D793" s="5" t="s">
        <v>8</v>
      </c>
      <c r="E793" s="6">
        <f>VALUE(449.25)</f>
        <v>449.25</v>
      </c>
      <c r="F793" s="5" t="s">
        <v>10</v>
      </c>
    </row>
    <row r="794" spans="1:6" ht="43.5">
      <c r="A794" s="1" t="s">
        <v>2382</v>
      </c>
      <c r="B794" s="4" t="s">
        <v>2383</v>
      </c>
      <c r="C794" s="3" t="s">
        <v>2384</v>
      </c>
      <c r="D794" s="5" t="s">
        <v>8</v>
      </c>
      <c r="E794" s="6">
        <f>VALUE(164.25)</f>
        <v>164.25</v>
      </c>
      <c r="F794" s="5" t="s">
        <v>10</v>
      </c>
    </row>
    <row r="795" spans="1:6" ht="43.5">
      <c r="A795" s="1" t="s">
        <v>2385</v>
      </c>
      <c r="B795" s="4" t="s">
        <v>2386</v>
      </c>
      <c r="C795" s="3" t="s">
        <v>2387</v>
      </c>
      <c r="D795" s="5" t="s">
        <v>8</v>
      </c>
      <c r="E795" s="6">
        <f>VALUE(219)</f>
        <v>219</v>
      </c>
      <c r="F795" s="5" t="s">
        <v>10</v>
      </c>
    </row>
    <row r="796" spans="1:6" ht="43.5">
      <c r="A796" s="1" t="s">
        <v>2388</v>
      </c>
      <c r="B796" s="4" t="s">
        <v>2389</v>
      </c>
      <c r="C796" s="3" t="s">
        <v>2390</v>
      </c>
      <c r="D796" s="5" t="s">
        <v>8</v>
      </c>
      <c r="E796" s="6">
        <f>VALUE(164.25)</f>
        <v>164.25</v>
      </c>
      <c r="F796" s="5" t="s">
        <v>10</v>
      </c>
    </row>
    <row r="797" spans="1:6" ht="43.5">
      <c r="A797" s="1" t="s">
        <v>2391</v>
      </c>
      <c r="B797" s="4" t="s">
        <v>2392</v>
      </c>
      <c r="C797" s="3" t="s">
        <v>2393</v>
      </c>
      <c r="D797" s="5" t="s">
        <v>8</v>
      </c>
      <c r="E797" s="6">
        <f>VALUE(164.25)</f>
        <v>164.25</v>
      </c>
      <c r="F797" s="5" t="s">
        <v>10</v>
      </c>
    </row>
    <row r="798" spans="1:6" ht="43.5">
      <c r="A798" s="1" t="s">
        <v>2394</v>
      </c>
      <c r="B798" s="4" t="s">
        <v>2395</v>
      </c>
      <c r="C798" s="3" t="s">
        <v>2396</v>
      </c>
      <c r="D798" s="5" t="s">
        <v>8</v>
      </c>
      <c r="E798" s="6">
        <f>VALUE(219)</f>
        <v>219</v>
      </c>
      <c r="F798" s="5" t="s">
        <v>10</v>
      </c>
    </row>
    <row r="799" spans="1:6" ht="43.5">
      <c r="A799" s="1" t="s">
        <v>2397</v>
      </c>
      <c r="B799" s="4" t="s">
        <v>2398</v>
      </c>
      <c r="C799" s="3" t="s">
        <v>2399</v>
      </c>
      <c r="D799" s="5" t="s">
        <v>8</v>
      </c>
      <c r="E799" s="6">
        <f>VALUE(164.25)</f>
        <v>164.25</v>
      </c>
      <c r="F799" s="5" t="s">
        <v>10</v>
      </c>
    </row>
    <row r="800" spans="1:6" ht="43.5">
      <c r="A800" s="1" t="s">
        <v>2400</v>
      </c>
      <c r="B800" s="4" t="s">
        <v>2401</v>
      </c>
      <c r="C800" s="3" t="s">
        <v>2402</v>
      </c>
      <c r="D800" s="5" t="s">
        <v>8</v>
      </c>
      <c r="E800" s="6">
        <f>VALUE(164.25)</f>
        <v>164.25</v>
      </c>
      <c r="F800" s="5" t="s">
        <v>10</v>
      </c>
    </row>
    <row r="801" spans="1:6" ht="43.5">
      <c r="A801" s="1" t="s">
        <v>2403</v>
      </c>
      <c r="B801" s="4" t="s">
        <v>2404</v>
      </c>
      <c r="C801" s="3" t="s">
        <v>2405</v>
      </c>
      <c r="D801" s="5" t="s">
        <v>8</v>
      </c>
      <c r="E801" s="6">
        <f>VALUE(219)</f>
        <v>219</v>
      </c>
      <c r="F801" s="5" t="s">
        <v>10</v>
      </c>
    </row>
    <row r="802" spans="1:6" ht="43.5">
      <c r="A802" s="1" t="s">
        <v>2406</v>
      </c>
      <c r="B802" s="4" t="s">
        <v>2407</v>
      </c>
      <c r="C802" s="3" t="s">
        <v>2408</v>
      </c>
      <c r="D802" s="5" t="s">
        <v>8</v>
      </c>
      <c r="E802" s="6">
        <f>VALUE(164.25)</f>
        <v>164.25</v>
      </c>
      <c r="F802" s="5" t="s">
        <v>10</v>
      </c>
    </row>
    <row r="803" spans="1:6" ht="43.5">
      <c r="A803" s="1" t="s">
        <v>2409</v>
      </c>
      <c r="B803" s="4" t="s">
        <v>2410</v>
      </c>
      <c r="C803" s="3" t="s">
        <v>2411</v>
      </c>
      <c r="D803" s="5" t="s">
        <v>8</v>
      </c>
      <c r="E803" s="6">
        <f>VALUE(164.25)</f>
        <v>164.25</v>
      </c>
      <c r="F803" s="5" t="s">
        <v>10</v>
      </c>
    </row>
    <row r="804" spans="1:6" ht="43.5">
      <c r="A804" s="1" t="s">
        <v>2412</v>
      </c>
      <c r="B804" s="4" t="s">
        <v>2413</v>
      </c>
      <c r="C804" s="3" t="s">
        <v>2414</v>
      </c>
      <c r="D804" s="5" t="s">
        <v>8</v>
      </c>
      <c r="E804" s="6">
        <f>VALUE(219)</f>
        <v>219</v>
      </c>
      <c r="F804" s="5" t="s">
        <v>10</v>
      </c>
    </row>
    <row r="805" spans="1:6" ht="43.5">
      <c r="A805" s="1" t="s">
        <v>2415</v>
      </c>
      <c r="B805" s="4" t="s">
        <v>2416</v>
      </c>
      <c r="C805" s="3" t="s">
        <v>2417</v>
      </c>
      <c r="D805" s="5" t="s">
        <v>8</v>
      </c>
      <c r="E805" s="6">
        <f>VALUE(164.25)</f>
        <v>164.25</v>
      </c>
      <c r="F805" s="5" t="s">
        <v>10</v>
      </c>
    </row>
    <row r="806" spans="1:6" ht="58">
      <c r="A806" s="1" t="s">
        <v>2418</v>
      </c>
      <c r="B806" s="4" t="s">
        <v>2419</v>
      </c>
      <c r="C806" s="3" t="s">
        <v>2420</v>
      </c>
      <c r="D806" s="5" t="s">
        <v>8</v>
      </c>
      <c r="E806" s="6">
        <f>VALUE(164.25)</f>
        <v>164.25</v>
      </c>
      <c r="F806" s="5" t="s">
        <v>10</v>
      </c>
    </row>
    <row r="807" spans="1:6" ht="43.5">
      <c r="A807" s="1" t="s">
        <v>2421</v>
      </c>
      <c r="B807" s="4" t="s">
        <v>2422</v>
      </c>
      <c r="C807" s="3" t="s">
        <v>2423</v>
      </c>
      <c r="D807" s="5" t="s">
        <v>8</v>
      </c>
      <c r="E807" s="6">
        <f>VALUE(219)</f>
        <v>219</v>
      </c>
      <c r="F807" s="5" t="s">
        <v>10</v>
      </c>
    </row>
    <row r="808" spans="1:6" ht="43.5">
      <c r="A808" s="1" t="s">
        <v>2424</v>
      </c>
      <c r="B808" s="4" t="s">
        <v>2425</v>
      </c>
      <c r="C808" s="3" t="s">
        <v>2426</v>
      </c>
      <c r="D808" s="5" t="s">
        <v>8</v>
      </c>
      <c r="E808" s="6">
        <f>VALUE(164.25)</f>
        <v>164.25</v>
      </c>
      <c r="F808" s="5" t="s">
        <v>10</v>
      </c>
    </row>
    <row r="809" spans="1:6" ht="58">
      <c r="A809" s="1" t="s">
        <v>2427</v>
      </c>
      <c r="B809" s="4" t="s">
        <v>2428</v>
      </c>
      <c r="C809" s="3" t="s">
        <v>2429</v>
      </c>
      <c r="D809" s="5" t="s">
        <v>8</v>
      </c>
      <c r="E809" s="6">
        <f>VALUE(164.25)</f>
        <v>164.25</v>
      </c>
      <c r="F809" s="5" t="s">
        <v>10</v>
      </c>
    </row>
    <row r="810" spans="1:6" ht="43.5">
      <c r="A810" s="1" t="s">
        <v>2430</v>
      </c>
      <c r="B810" s="4" t="s">
        <v>2431</v>
      </c>
      <c r="C810" s="3" t="s">
        <v>2432</v>
      </c>
      <c r="D810" s="5" t="s">
        <v>8</v>
      </c>
      <c r="E810" s="6">
        <f>VALUE(219)</f>
        <v>219</v>
      </c>
      <c r="F810" s="5" t="s">
        <v>10</v>
      </c>
    </row>
    <row r="811" spans="1:6" ht="43.5">
      <c r="A811" s="1" t="s">
        <v>2433</v>
      </c>
      <c r="B811" s="4" t="s">
        <v>2434</v>
      </c>
      <c r="C811" s="3" t="s">
        <v>2435</v>
      </c>
      <c r="D811" s="5" t="s">
        <v>8</v>
      </c>
      <c r="E811" s="6">
        <f>VALUE(164.25)</f>
        <v>164.25</v>
      </c>
      <c r="F811" s="5" t="s">
        <v>10</v>
      </c>
    </row>
    <row r="812" spans="1:6" ht="43.5">
      <c r="A812" s="1" t="s">
        <v>2436</v>
      </c>
      <c r="B812" s="4" t="s">
        <v>2437</v>
      </c>
      <c r="C812" s="3" t="s">
        <v>2438</v>
      </c>
      <c r="D812" s="5" t="s">
        <v>8</v>
      </c>
      <c r="E812" s="6">
        <f>VALUE(164.25)</f>
        <v>164.25</v>
      </c>
      <c r="F812" s="5" t="s">
        <v>10</v>
      </c>
    </row>
    <row r="813" spans="1:6" ht="43.5">
      <c r="A813" s="1" t="s">
        <v>2439</v>
      </c>
      <c r="B813" s="4" t="s">
        <v>2440</v>
      </c>
      <c r="C813" s="3" t="s">
        <v>2441</v>
      </c>
      <c r="D813" s="5" t="s">
        <v>8</v>
      </c>
      <c r="E813" s="6">
        <f>VALUE(219)</f>
        <v>219</v>
      </c>
      <c r="F813" s="5" t="s">
        <v>10</v>
      </c>
    </row>
    <row r="814" spans="1:6" ht="43.5">
      <c r="A814" s="1" t="s">
        <v>2442</v>
      </c>
      <c r="B814" s="4" t="s">
        <v>2443</v>
      </c>
      <c r="C814" s="3" t="s">
        <v>2444</v>
      </c>
      <c r="D814" s="5" t="s">
        <v>8</v>
      </c>
      <c r="E814" s="6">
        <f>VALUE(164.25)</f>
        <v>164.25</v>
      </c>
      <c r="F814" s="5" t="s">
        <v>10</v>
      </c>
    </row>
    <row r="815" spans="1:6" ht="43.5">
      <c r="A815" s="1" t="s">
        <v>2445</v>
      </c>
      <c r="B815" s="4" t="s">
        <v>2446</v>
      </c>
      <c r="C815" s="3" t="s">
        <v>2447</v>
      </c>
      <c r="D815" s="5" t="s">
        <v>8</v>
      </c>
      <c r="E815" s="6">
        <f>VALUE(164.25)</f>
        <v>164.25</v>
      </c>
      <c r="F815" s="5" t="s">
        <v>10</v>
      </c>
    </row>
    <row r="816" spans="1:6" ht="43.5">
      <c r="A816" s="1" t="s">
        <v>2448</v>
      </c>
      <c r="B816" s="4" t="s">
        <v>2449</v>
      </c>
      <c r="C816" s="3" t="s">
        <v>2450</v>
      </c>
      <c r="D816" s="5" t="s">
        <v>8</v>
      </c>
      <c r="E816" s="6">
        <f>VALUE(219)</f>
        <v>219</v>
      </c>
      <c r="F816" s="5" t="s">
        <v>10</v>
      </c>
    </row>
    <row r="817" spans="1:6" ht="43.5">
      <c r="A817" s="1" t="s">
        <v>2451</v>
      </c>
      <c r="B817" s="4" t="s">
        <v>2452</v>
      </c>
      <c r="C817" s="3" t="s">
        <v>2453</v>
      </c>
      <c r="D817" s="5" t="s">
        <v>8</v>
      </c>
      <c r="E817" s="6">
        <f>VALUE(164.25)</f>
        <v>164.25</v>
      </c>
      <c r="F817" s="5" t="s">
        <v>10</v>
      </c>
    </row>
    <row r="818" spans="1:6" ht="43.5">
      <c r="A818" s="1" t="s">
        <v>2454</v>
      </c>
      <c r="B818" s="4" t="s">
        <v>2455</v>
      </c>
      <c r="C818" s="3" t="s">
        <v>2456</v>
      </c>
      <c r="D818" s="5" t="s">
        <v>8</v>
      </c>
      <c r="E818" s="6">
        <f>VALUE(164.25)</f>
        <v>164.25</v>
      </c>
      <c r="F818" s="5" t="s">
        <v>10</v>
      </c>
    </row>
    <row r="819" spans="1:6" ht="43.5">
      <c r="A819" s="1" t="s">
        <v>2457</v>
      </c>
      <c r="B819" s="4" t="s">
        <v>2458</v>
      </c>
      <c r="C819" s="3" t="s">
        <v>2459</v>
      </c>
      <c r="D819" s="5" t="s">
        <v>8</v>
      </c>
      <c r="E819" s="6">
        <f>VALUE(219)</f>
        <v>219</v>
      </c>
      <c r="F819" s="5" t="s">
        <v>10</v>
      </c>
    </row>
    <row r="820" spans="1:6" ht="43.5">
      <c r="A820" s="1" t="s">
        <v>2460</v>
      </c>
      <c r="B820" s="4" t="s">
        <v>2461</v>
      </c>
      <c r="C820" s="3" t="s">
        <v>2462</v>
      </c>
      <c r="D820" s="5" t="s">
        <v>8</v>
      </c>
      <c r="E820" s="6">
        <f>VALUE(164.25)</f>
        <v>164.25</v>
      </c>
      <c r="F820" s="5" t="s">
        <v>10</v>
      </c>
    </row>
    <row r="821" spans="1:6" ht="43.5">
      <c r="A821" s="1" t="s">
        <v>2463</v>
      </c>
      <c r="B821" s="4" t="s">
        <v>2464</v>
      </c>
      <c r="C821" s="3" t="s">
        <v>2465</v>
      </c>
      <c r="D821" s="5" t="s">
        <v>8</v>
      </c>
      <c r="E821" s="6">
        <f>VALUE(164.25)</f>
        <v>164.25</v>
      </c>
      <c r="F821" s="5" t="s">
        <v>10</v>
      </c>
    </row>
    <row r="822" spans="1:6" ht="43.5">
      <c r="A822" s="1" t="s">
        <v>2466</v>
      </c>
      <c r="B822" s="4" t="s">
        <v>2467</v>
      </c>
      <c r="C822" s="3" t="s">
        <v>2468</v>
      </c>
      <c r="D822" s="5" t="s">
        <v>8</v>
      </c>
      <c r="E822" s="6">
        <f>VALUE(219)</f>
        <v>219</v>
      </c>
      <c r="F822" s="5" t="s">
        <v>10</v>
      </c>
    </row>
    <row r="823" spans="1:6" ht="43.5">
      <c r="A823" s="1" t="s">
        <v>2469</v>
      </c>
      <c r="B823" s="4" t="s">
        <v>2470</v>
      </c>
      <c r="C823" s="3" t="s">
        <v>2471</v>
      </c>
      <c r="D823" s="5" t="s">
        <v>8</v>
      </c>
      <c r="E823" s="6">
        <f>VALUE(164.25)</f>
        <v>164.25</v>
      </c>
      <c r="F823" s="5" t="s">
        <v>10</v>
      </c>
    </row>
    <row r="824" spans="1:6" ht="43.5">
      <c r="A824" s="1" t="s">
        <v>2472</v>
      </c>
      <c r="B824" s="4" t="s">
        <v>2473</v>
      </c>
      <c r="C824" s="3" t="s">
        <v>2474</v>
      </c>
      <c r="D824" s="5" t="s">
        <v>8</v>
      </c>
      <c r="E824" s="6">
        <f>VALUE(164.25)</f>
        <v>164.25</v>
      </c>
      <c r="F824" s="5" t="s">
        <v>10</v>
      </c>
    </row>
    <row r="825" spans="1:6" ht="43.5">
      <c r="A825" s="1" t="s">
        <v>2475</v>
      </c>
      <c r="B825" s="4" t="s">
        <v>2476</v>
      </c>
      <c r="C825" s="3" t="s">
        <v>2477</v>
      </c>
      <c r="D825" s="5" t="s">
        <v>8</v>
      </c>
      <c r="E825" s="6">
        <f>VALUE(219)</f>
        <v>219</v>
      </c>
      <c r="F825" s="5" t="s">
        <v>10</v>
      </c>
    </row>
    <row r="826" spans="1:6" ht="43.5">
      <c r="A826" s="1" t="s">
        <v>2478</v>
      </c>
      <c r="B826" s="4" t="s">
        <v>2479</v>
      </c>
      <c r="C826" s="3" t="s">
        <v>2480</v>
      </c>
      <c r="D826" s="5" t="s">
        <v>8</v>
      </c>
      <c r="E826" s="6">
        <f>VALUE(164.25)</f>
        <v>164.25</v>
      </c>
      <c r="F826" s="5" t="s">
        <v>10</v>
      </c>
    </row>
    <row r="827" spans="1:6" ht="58">
      <c r="A827" s="1" t="s">
        <v>2481</v>
      </c>
      <c r="B827" s="4" t="s">
        <v>2482</v>
      </c>
      <c r="C827" s="3" t="s">
        <v>2483</v>
      </c>
      <c r="D827" s="5" t="s">
        <v>8</v>
      </c>
      <c r="E827" s="6">
        <f>VALUE(329.25)</f>
        <v>329.25</v>
      </c>
      <c r="F827" s="5" t="s">
        <v>10</v>
      </c>
    </row>
    <row r="828" spans="1:6" ht="43.5">
      <c r="A828" s="1" t="s">
        <v>2484</v>
      </c>
      <c r="B828" s="4" t="s">
        <v>2485</v>
      </c>
      <c r="C828" s="3" t="s">
        <v>2486</v>
      </c>
      <c r="D828" s="5" t="s">
        <v>8</v>
      </c>
      <c r="E828" s="6">
        <f>VALUE(439)</f>
        <v>439</v>
      </c>
      <c r="F828" s="5" t="s">
        <v>10</v>
      </c>
    </row>
    <row r="829" spans="1:6" ht="43.5">
      <c r="A829" s="1" t="s">
        <v>2487</v>
      </c>
      <c r="B829" s="4" t="s">
        <v>2488</v>
      </c>
      <c r="C829" s="3" t="s">
        <v>2489</v>
      </c>
      <c r="D829" s="5" t="s">
        <v>8</v>
      </c>
      <c r="E829" s="6">
        <f>VALUE(329.25)</f>
        <v>329.25</v>
      </c>
      <c r="F829" s="5" t="s">
        <v>10</v>
      </c>
    </row>
    <row r="830" spans="1:6" ht="43.5">
      <c r="A830" s="1" t="s">
        <v>2490</v>
      </c>
      <c r="B830" s="4" t="s">
        <v>2491</v>
      </c>
      <c r="C830" s="3" t="s">
        <v>2492</v>
      </c>
      <c r="D830" s="5" t="s">
        <v>8</v>
      </c>
      <c r="E830" s="6">
        <f>VALUE(119.25)</f>
        <v>119.25</v>
      </c>
      <c r="F830" s="5" t="s">
        <v>10</v>
      </c>
    </row>
    <row r="831" spans="1:6" ht="43.5">
      <c r="A831" s="1" t="s">
        <v>2493</v>
      </c>
      <c r="B831" s="4" t="s">
        <v>2494</v>
      </c>
      <c r="C831" s="3" t="s">
        <v>2495</v>
      </c>
      <c r="D831" s="5" t="s">
        <v>8</v>
      </c>
      <c r="E831" s="6">
        <f>VALUE(179.25)</f>
        <v>179.25</v>
      </c>
      <c r="F831" s="5" t="s">
        <v>10</v>
      </c>
    </row>
    <row r="832" spans="1:6" ht="29">
      <c r="A832" s="1" t="s">
        <v>2496</v>
      </c>
      <c r="B832" s="4" t="s">
        <v>2497</v>
      </c>
      <c r="C832" s="3" t="s">
        <v>2498</v>
      </c>
      <c r="D832" s="5" t="s">
        <v>8</v>
      </c>
      <c r="E832" s="6">
        <f>VALUE(239)</f>
        <v>239</v>
      </c>
      <c r="F832" s="5" t="s">
        <v>10</v>
      </c>
    </row>
    <row r="833" spans="1:6" ht="29">
      <c r="A833" s="1" t="s">
        <v>2499</v>
      </c>
      <c r="B833" s="4" t="s">
        <v>2500</v>
      </c>
      <c r="C833" s="3" t="s">
        <v>2501</v>
      </c>
      <c r="D833" s="5" t="s">
        <v>8</v>
      </c>
      <c r="E833" s="6">
        <f>VALUE(179.25)</f>
        <v>179.25</v>
      </c>
      <c r="F833" s="5" t="s">
        <v>10</v>
      </c>
    </row>
    <row r="834" spans="1:6" ht="29">
      <c r="A834" s="1" t="s">
        <v>2502</v>
      </c>
      <c r="B834" s="4" t="s">
        <v>2503</v>
      </c>
      <c r="C834" s="3" t="s">
        <v>2504</v>
      </c>
      <c r="D834" s="5" t="s">
        <v>8</v>
      </c>
      <c r="E834" s="6">
        <f>VALUE(159)</f>
        <v>159</v>
      </c>
      <c r="F834" s="5" t="s">
        <v>10</v>
      </c>
    </row>
    <row r="835" spans="1:6" ht="29">
      <c r="A835" s="1" t="s">
        <v>2505</v>
      </c>
      <c r="B835" s="4" t="s">
        <v>2506</v>
      </c>
      <c r="C835" s="3" t="s">
        <v>2507</v>
      </c>
      <c r="D835" s="5" t="s">
        <v>8</v>
      </c>
      <c r="E835" s="6">
        <f>VALUE(119.25)</f>
        <v>119.25</v>
      </c>
      <c r="F835" s="5" t="s">
        <v>10</v>
      </c>
    </row>
    <row r="836" spans="1:6" ht="43.5">
      <c r="A836" s="1" t="s">
        <v>2508</v>
      </c>
      <c r="B836" s="4" t="s">
        <v>2509</v>
      </c>
      <c r="C836" s="3" t="s">
        <v>2510</v>
      </c>
      <c r="D836" s="5" t="s">
        <v>8</v>
      </c>
      <c r="E836" s="6">
        <f>VALUE(449.25)</f>
        <v>449.25</v>
      </c>
      <c r="F836" s="5" t="s">
        <v>10</v>
      </c>
    </row>
    <row r="837" spans="1:6" ht="43.5">
      <c r="A837" s="1" t="s">
        <v>2511</v>
      </c>
      <c r="B837" s="4" t="s">
        <v>2512</v>
      </c>
      <c r="C837" s="3" t="s">
        <v>2513</v>
      </c>
      <c r="D837" s="5" t="s">
        <v>8</v>
      </c>
      <c r="E837" s="6">
        <f>VALUE(149.25)</f>
        <v>149.25</v>
      </c>
      <c r="F837" s="5" t="s">
        <v>10</v>
      </c>
    </row>
    <row r="838" spans="1:6" ht="29">
      <c r="A838" s="1" t="s">
        <v>2514</v>
      </c>
      <c r="B838" s="4" t="s">
        <v>2515</v>
      </c>
      <c r="C838" s="3" t="s">
        <v>2516</v>
      </c>
      <c r="D838" s="5" t="s">
        <v>8</v>
      </c>
      <c r="E838" s="6">
        <f>VALUE(199)</f>
        <v>199</v>
      </c>
      <c r="F838" s="5" t="s">
        <v>10</v>
      </c>
    </row>
    <row r="839" spans="1:6" ht="29">
      <c r="A839" s="1" t="s">
        <v>2517</v>
      </c>
      <c r="B839" s="4" t="s">
        <v>2518</v>
      </c>
      <c r="C839" s="3" t="s">
        <v>2519</v>
      </c>
      <c r="D839" s="5" t="s">
        <v>8</v>
      </c>
      <c r="E839" s="6">
        <f>VALUE(149.25)</f>
        <v>149.25</v>
      </c>
      <c r="F839" s="5" t="s">
        <v>10</v>
      </c>
    </row>
    <row r="840" spans="1:6" ht="43.5">
      <c r="A840" s="1" t="s">
        <v>2520</v>
      </c>
      <c r="B840" s="4" t="s">
        <v>2521</v>
      </c>
      <c r="C840" s="3" t="s">
        <v>2522</v>
      </c>
      <c r="D840" s="5" t="s">
        <v>8</v>
      </c>
      <c r="E840" s="6">
        <f>VALUE(299.25)</f>
        <v>299.25</v>
      </c>
      <c r="F840" s="5" t="s">
        <v>10</v>
      </c>
    </row>
    <row r="841" spans="1:6" ht="29">
      <c r="A841" s="1" t="s">
        <v>2523</v>
      </c>
      <c r="B841" s="4" t="s">
        <v>2524</v>
      </c>
      <c r="C841" s="3" t="s">
        <v>2525</v>
      </c>
      <c r="D841" s="5" t="s">
        <v>8</v>
      </c>
      <c r="E841" s="6">
        <f>VALUE(399)</f>
        <v>399</v>
      </c>
      <c r="F841" s="5" t="s">
        <v>10</v>
      </c>
    </row>
    <row r="842" spans="1:6" ht="29">
      <c r="A842" s="1" t="s">
        <v>2526</v>
      </c>
      <c r="B842" s="4" t="s">
        <v>2527</v>
      </c>
      <c r="C842" s="3" t="s">
        <v>2528</v>
      </c>
      <c r="D842" s="5" t="s">
        <v>8</v>
      </c>
      <c r="E842" s="6">
        <f>VALUE(299.25)</f>
        <v>299.25</v>
      </c>
      <c r="F842" s="5" t="s">
        <v>10</v>
      </c>
    </row>
    <row r="843" spans="1:6" ht="43.5">
      <c r="A843" s="1" t="s">
        <v>2529</v>
      </c>
      <c r="B843" s="4" t="s">
        <v>2530</v>
      </c>
      <c r="C843" s="3" t="s">
        <v>2531</v>
      </c>
      <c r="D843" s="5" t="s">
        <v>8</v>
      </c>
      <c r="E843" s="6">
        <f>VALUE(524.25)</f>
        <v>524.25</v>
      </c>
      <c r="F843" s="5" t="s">
        <v>10</v>
      </c>
    </row>
    <row r="844" spans="1:6" ht="29">
      <c r="A844" s="1" t="s">
        <v>2532</v>
      </c>
      <c r="B844" s="4" t="s">
        <v>2533</v>
      </c>
      <c r="C844" s="3" t="s">
        <v>2534</v>
      </c>
      <c r="D844" s="5" t="s">
        <v>8</v>
      </c>
      <c r="E844" s="6">
        <f>VALUE(699)</f>
        <v>699</v>
      </c>
      <c r="F844" s="5" t="s">
        <v>10</v>
      </c>
    </row>
    <row r="845" spans="1:6" ht="29">
      <c r="A845" s="1" t="s">
        <v>2535</v>
      </c>
      <c r="B845" s="4" t="s">
        <v>2536</v>
      </c>
      <c r="C845" s="3" t="s">
        <v>2537</v>
      </c>
      <c r="D845" s="5" t="s">
        <v>8</v>
      </c>
      <c r="E845" s="6">
        <f>VALUE(524.25)</f>
        <v>524.25</v>
      </c>
      <c r="F845" s="5" t="s">
        <v>10</v>
      </c>
    </row>
    <row r="846" spans="1:6" ht="43.5">
      <c r="A846" s="1" t="s">
        <v>2538</v>
      </c>
      <c r="B846" s="4" t="s">
        <v>2539</v>
      </c>
      <c r="C846" s="3" t="s">
        <v>2540</v>
      </c>
      <c r="D846" s="5" t="s">
        <v>8</v>
      </c>
      <c r="E846" s="6">
        <f>VALUE(599.25)</f>
        <v>599.25</v>
      </c>
      <c r="F846" s="5" t="s">
        <v>10</v>
      </c>
    </row>
    <row r="847" spans="1:6" ht="29">
      <c r="A847" s="1" t="s">
        <v>2541</v>
      </c>
      <c r="B847" s="4" t="s">
        <v>2542</v>
      </c>
      <c r="C847" s="3" t="s">
        <v>2543</v>
      </c>
      <c r="D847" s="5" t="s">
        <v>8</v>
      </c>
      <c r="E847" s="6">
        <f>VALUE(799)</f>
        <v>799</v>
      </c>
      <c r="F847" s="5" t="s">
        <v>10</v>
      </c>
    </row>
    <row r="848" spans="1:6" ht="29">
      <c r="A848" s="1" t="s">
        <v>2544</v>
      </c>
      <c r="B848" s="4" t="s">
        <v>2545</v>
      </c>
      <c r="C848" s="3" t="s">
        <v>2546</v>
      </c>
      <c r="D848" s="5" t="s">
        <v>8</v>
      </c>
      <c r="E848" s="6">
        <f>VALUE(599.25)</f>
        <v>599.25</v>
      </c>
      <c r="F848" s="5" t="s">
        <v>10</v>
      </c>
    </row>
    <row r="849" spans="1:6">
      <c r="A849" s="1" t="s">
        <v>2547</v>
      </c>
      <c r="B849" s="4" t="s">
        <v>2548</v>
      </c>
      <c r="C849" s="3" t="s">
        <v>2549</v>
      </c>
      <c r="D849" s="5" t="s">
        <v>8</v>
      </c>
      <c r="E849" s="6">
        <f>VALUE(3.25)</f>
        <v>3.25</v>
      </c>
      <c r="F849" s="5" t="s">
        <v>10</v>
      </c>
    </row>
    <row r="850" spans="1:6" ht="29">
      <c r="A850" s="1" t="s">
        <v>2550</v>
      </c>
      <c r="B850" s="4" t="s">
        <v>2551</v>
      </c>
      <c r="C850" s="3" t="s">
        <v>2552</v>
      </c>
      <c r="D850" s="5" t="s">
        <v>8</v>
      </c>
      <c r="E850" s="6">
        <f>VALUE(974.75)</f>
        <v>974.75</v>
      </c>
      <c r="F850" s="5" t="s">
        <v>10</v>
      </c>
    </row>
    <row r="851" spans="1:6" ht="29">
      <c r="A851" s="1" t="s">
        <v>2553</v>
      </c>
      <c r="B851" s="4" t="s">
        <v>2554</v>
      </c>
      <c r="C851" s="3" t="s">
        <v>2555</v>
      </c>
      <c r="D851" s="5" t="s">
        <v>8</v>
      </c>
      <c r="E851" s="6">
        <f>VALUE(1130)</f>
        <v>1130</v>
      </c>
      <c r="F851" s="5" t="s">
        <v>10</v>
      </c>
    </row>
    <row r="852" spans="1:6" ht="29">
      <c r="A852" s="1" t="s">
        <v>2556</v>
      </c>
      <c r="B852" s="4" t="s">
        <v>2557</v>
      </c>
      <c r="C852" s="3" t="s">
        <v>2558</v>
      </c>
      <c r="D852" s="5" t="s">
        <v>8</v>
      </c>
      <c r="E852" s="6">
        <f>VALUE(1248.25)</f>
        <v>1248.25</v>
      </c>
      <c r="F852" s="5" t="s">
        <v>10</v>
      </c>
    </row>
    <row r="853" spans="1:6" ht="29">
      <c r="A853" s="1" t="s">
        <v>2559</v>
      </c>
      <c r="B853" s="4" t="s">
        <v>2560</v>
      </c>
      <c r="C853" s="3" t="s">
        <v>2561</v>
      </c>
      <c r="D853" s="5" t="s">
        <v>8</v>
      </c>
      <c r="E853" s="6">
        <f>VALUE(1480)</f>
        <v>1480</v>
      </c>
      <c r="F853" s="5" t="s">
        <v>10</v>
      </c>
    </row>
    <row r="854" spans="1:6" ht="29">
      <c r="A854" s="1" t="s">
        <v>2562</v>
      </c>
      <c r="B854" s="4" t="s">
        <v>2563</v>
      </c>
      <c r="C854" s="3" t="s">
        <v>2564</v>
      </c>
      <c r="D854" s="5" t="s">
        <v>8</v>
      </c>
      <c r="E854" s="6">
        <f>VALUE(1499.75)</f>
        <v>1499.75</v>
      </c>
      <c r="F854" s="5" t="s">
        <v>10</v>
      </c>
    </row>
    <row r="855" spans="1:6" ht="29">
      <c r="A855" s="1" t="s">
        <v>2565</v>
      </c>
      <c r="B855" s="4" t="s">
        <v>2566</v>
      </c>
      <c r="C855" s="3" t="s">
        <v>2567</v>
      </c>
      <c r="D855" s="5" t="s">
        <v>8</v>
      </c>
      <c r="E855" s="6">
        <f>VALUE(1599.75)</f>
        <v>1599.75</v>
      </c>
      <c r="F855" s="5" t="s">
        <v>10</v>
      </c>
    </row>
    <row r="856" spans="1:6" ht="29">
      <c r="A856" s="1" t="s">
        <v>2568</v>
      </c>
      <c r="B856" s="4" t="s">
        <v>2569</v>
      </c>
      <c r="C856" s="3" t="s">
        <v>2570</v>
      </c>
      <c r="D856" s="5" t="s">
        <v>8</v>
      </c>
      <c r="E856" s="6">
        <f>VALUE(1749.75)</f>
        <v>1749.75</v>
      </c>
      <c r="F856" s="5" t="s">
        <v>10</v>
      </c>
    </row>
    <row r="857" spans="1:6" ht="29">
      <c r="A857" s="1" t="s">
        <v>2571</v>
      </c>
      <c r="B857" s="4" t="s">
        <v>2572</v>
      </c>
      <c r="C857" s="3" t="s">
        <v>2573</v>
      </c>
      <c r="D857" s="5" t="s">
        <v>8</v>
      </c>
      <c r="E857" s="6">
        <f>VALUE(21.25)</f>
        <v>21.25</v>
      </c>
      <c r="F857" s="5" t="s">
        <v>10</v>
      </c>
    </row>
    <row r="858" spans="1:6" ht="29">
      <c r="A858" s="1" t="s">
        <v>2574</v>
      </c>
      <c r="B858" s="4" t="s">
        <v>2575</v>
      </c>
      <c r="C858" s="3" t="s">
        <v>2576</v>
      </c>
      <c r="D858" s="5" t="s">
        <v>8</v>
      </c>
      <c r="E858" s="6">
        <f>VALUE(24.75)</f>
        <v>24.75</v>
      </c>
      <c r="F858" s="5" t="s">
        <v>10</v>
      </c>
    </row>
    <row r="859" spans="1:6" ht="29">
      <c r="A859" s="1" t="s">
        <v>2577</v>
      </c>
      <c r="B859" s="4" t="s">
        <v>2578</v>
      </c>
      <c r="C859" s="3" t="s">
        <v>2579</v>
      </c>
      <c r="D859" s="5" t="s">
        <v>8</v>
      </c>
      <c r="E859" s="6">
        <f>VALUE(27.25)</f>
        <v>27.25</v>
      </c>
      <c r="F859" s="5" t="s">
        <v>10</v>
      </c>
    </row>
    <row r="860" spans="1:6" ht="29">
      <c r="A860" s="1" t="s">
        <v>2580</v>
      </c>
      <c r="B860" s="4" t="s">
        <v>2581</v>
      </c>
      <c r="C860" s="3" t="s">
        <v>2582</v>
      </c>
      <c r="D860" s="5" t="s">
        <v>8</v>
      </c>
      <c r="E860" s="6">
        <f>VALUE(29.75)</f>
        <v>29.75</v>
      </c>
      <c r="F860" s="5" t="s">
        <v>10</v>
      </c>
    </row>
    <row r="861" spans="1:6" ht="29">
      <c r="A861" s="1" t="s">
        <v>2583</v>
      </c>
      <c r="B861" s="4" t="s">
        <v>2584</v>
      </c>
      <c r="C861" s="3" t="s">
        <v>2585</v>
      </c>
      <c r="D861" s="5" t="s">
        <v>8</v>
      </c>
      <c r="E861" s="6">
        <f>VALUE(29.75)</f>
        <v>29.75</v>
      </c>
      <c r="F861" s="5" t="s">
        <v>10</v>
      </c>
    </row>
    <row r="862" spans="1:6" ht="29">
      <c r="A862" s="1" t="s">
        <v>2586</v>
      </c>
      <c r="B862" s="4" t="s">
        <v>2587</v>
      </c>
      <c r="C862" s="3" t="s">
        <v>2588</v>
      </c>
      <c r="D862" s="5" t="s">
        <v>8</v>
      </c>
      <c r="E862" s="6">
        <f>VALUE(64.75)</f>
        <v>64.75</v>
      </c>
      <c r="F862" s="5" t="s">
        <v>10</v>
      </c>
    </row>
    <row r="863" spans="1:6" ht="29">
      <c r="A863" s="1" t="s">
        <v>2589</v>
      </c>
      <c r="B863" s="4" t="s">
        <v>2590</v>
      </c>
      <c r="C863" s="3" t="s">
        <v>2591</v>
      </c>
      <c r="D863" s="5" t="s">
        <v>8</v>
      </c>
      <c r="E863" s="6">
        <f>VALUE(67.25)</f>
        <v>67.25</v>
      </c>
      <c r="F863" s="5" t="s">
        <v>10</v>
      </c>
    </row>
    <row r="864" spans="1:6" ht="29">
      <c r="A864" s="1" t="s">
        <v>2592</v>
      </c>
      <c r="B864" s="4" t="s">
        <v>2593</v>
      </c>
      <c r="C864" s="3" t="s">
        <v>2594</v>
      </c>
      <c r="D864" s="5" t="s">
        <v>8</v>
      </c>
      <c r="E864" s="6">
        <f>VALUE(69.75)</f>
        <v>69.75</v>
      </c>
      <c r="F864" s="5" t="s">
        <v>10</v>
      </c>
    </row>
    <row r="865" spans="1:6" ht="29">
      <c r="A865" s="1" t="s">
        <v>2595</v>
      </c>
      <c r="B865" s="4" t="s">
        <v>2596</v>
      </c>
      <c r="C865" s="3" t="s">
        <v>2597</v>
      </c>
      <c r="D865" s="5" t="s">
        <v>8</v>
      </c>
      <c r="E865" s="6">
        <f>VALUE(99.75)</f>
        <v>99.75</v>
      </c>
      <c r="F865" s="5" t="s">
        <v>10</v>
      </c>
    </row>
    <row r="866" spans="1:6">
      <c r="A866" s="1" t="s">
        <v>2598</v>
      </c>
      <c r="B866" s="4" t="s">
        <v>2599</v>
      </c>
      <c r="C866" s="3" t="s">
        <v>2600</v>
      </c>
      <c r="D866" s="5" t="s">
        <v>8</v>
      </c>
      <c r="E866" s="6">
        <f>VALUE(1924.75)</f>
        <v>1924.75</v>
      </c>
      <c r="F866" s="5" t="s">
        <v>10</v>
      </c>
    </row>
    <row r="867" spans="1:6">
      <c r="A867" s="1" t="s">
        <v>2601</v>
      </c>
      <c r="B867" s="4" t="s">
        <v>2602</v>
      </c>
      <c r="C867" s="3" t="s">
        <v>2603</v>
      </c>
      <c r="D867" s="5" t="s">
        <v>8</v>
      </c>
      <c r="E867" s="6">
        <f>VALUE(4474.75)</f>
        <v>4474.75</v>
      </c>
      <c r="F867" s="5" t="s">
        <v>10</v>
      </c>
    </row>
    <row r="868" spans="1:6" ht="29">
      <c r="A868" s="1" t="s">
        <v>2604</v>
      </c>
      <c r="B868" s="4" t="s">
        <v>2605</v>
      </c>
      <c r="C868" s="3" t="s">
        <v>2606</v>
      </c>
      <c r="D868" s="5" t="s">
        <v>8</v>
      </c>
      <c r="E868" s="6">
        <f>VALUE(637.5)</f>
        <v>637.5</v>
      </c>
      <c r="F868" s="5" t="s">
        <v>10</v>
      </c>
    </row>
    <row r="869" spans="1:6" ht="29">
      <c r="A869" s="1" t="s">
        <v>2607</v>
      </c>
      <c r="B869" s="4" t="s">
        <v>2608</v>
      </c>
      <c r="C869" s="3" t="s">
        <v>2609</v>
      </c>
      <c r="D869" s="5" t="s">
        <v>8</v>
      </c>
      <c r="E869" s="6">
        <f>VALUE(600)</f>
        <v>600</v>
      </c>
      <c r="F869" s="5" t="s">
        <v>10</v>
      </c>
    </row>
    <row r="870" spans="1:6" ht="29">
      <c r="A870" s="1" t="s">
        <v>2610</v>
      </c>
      <c r="B870" s="4" t="s">
        <v>2611</v>
      </c>
      <c r="C870" s="3" t="s">
        <v>2612</v>
      </c>
      <c r="D870" s="5" t="s">
        <v>8</v>
      </c>
      <c r="E870" s="6">
        <f>VALUE(1200)</f>
        <v>1200</v>
      </c>
      <c r="F870" s="5" t="s">
        <v>10</v>
      </c>
    </row>
    <row r="871" spans="1:6" ht="29">
      <c r="A871" s="1" t="s">
        <v>2613</v>
      </c>
      <c r="B871" s="4" t="s">
        <v>2614</v>
      </c>
      <c r="C871" s="3" t="s">
        <v>2615</v>
      </c>
      <c r="D871" s="5" t="s">
        <v>8</v>
      </c>
      <c r="E871" s="6">
        <f>VALUE(737.5)</f>
        <v>737.5</v>
      </c>
      <c r="F871" s="5" t="s">
        <v>10</v>
      </c>
    </row>
    <row r="872" spans="1:6" ht="29">
      <c r="A872" s="1" t="s">
        <v>2616</v>
      </c>
      <c r="B872" s="4" t="s">
        <v>2617</v>
      </c>
      <c r="C872" s="3" t="s">
        <v>2618</v>
      </c>
      <c r="D872" s="5" t="s">
        <v>8</v>
      </c>
      <c r="E872" s="6">
        <f>VALUE(787.5)</f>
        <v>787.5</v>
      </c>
      <c r="F872" s="5" t="s">
        <v>10</v>
      </c>
    </row>
    <row r="873" spans="1:6" ht="29">
      <c r="A873" s="1" t="s">
        <v>2619</v>
      </c>
      <c r="B873" s="4" t="s">
        <v>2620</v>
      </c>
      <c r="C873" s="3" t="s">
        <v>2621</v>
      </c>
      <c r="D873" s="5" t="s">
        <v>8</v>
      </c>
      <c r="E873" s="6">
        <f>VALUE(450)</f>
        <v>450</v>
      </c>
      <c r="F873" s="5" t="s">
        <v>10</v>
      </c>
    </row>
    <row r="874" spans="1:6" ht="29">
      <c r="A874" s="1" t="s">
        <v>2622</v>
      </c>
      <c r="B874" s="4" t="s">
        <v>2623</v>
      </c>
      <c r="C874" s="3" t="s">
        <v>2624</v>
      </c>
      <c r="D874" s="5" t="s">
        <v>8</v>
      </c>
      <c r="E874" s="6">
        <f>VALUE(750)</f>
        <v>750</v>
      </c>
      <c r="F874" s="5" t="s">
        <v>10</v>
      </c>
    </row>
    <row r="875" spans="1:6" ht="29">
      <c r="A875" s="1" t="s">
        <v>2625</v>
      </c>
      <c r="B875" s="4" t="s">
        <v>2626</v>
      </c>
      <c r="C875" s="3" t="s">
        <v>2627</v>
      </c>
      <c r="D875" s="5" t="s">
        <v>8</v>
      </c>
      <c r="E875" s="6">
        <f>VALUE(1000)</f>
        <v>1000</v>
      </c>
      <c r="F875" s="5" t="s">
        <v>10</v>
      </c>
    </row>
    <row r="876" spans="1:6" ht="29">
      <c r="A876" s="1" t="s">
        <v>2628</v>
      </c>
      <c r="B876" s="4" t="s">
        <v>2629</v>
      </c>
      <c r="C876" s="3" t="s">
        <v>2630</v>
      </c>
      <c r="D876" s="5" t="s">
        <v>8</v>
      </c>
      <c r="E876" s="6">
        <f>VALUE(149.75)</f>
        <v>149.75</v>
      </c>
      <c r="F876" s="5" t="s">
        <v>10</v>
      </c>
    </row>
    <row r="877" spans="1:6">
      <c r="A877" s="1" t="s">
        <v>2631</v>
      </c>
      <c r="B877" s="4" t="s">
        <v>2632</v>
      </c>
      <c r="C877" s="3" t="s">
        <v>2633</v>
      </c>
      <c r="D877" s="5" t="s">
        <v>8</v>
      </c>
      <c r="E877" s="6">
        <f>VALUE(1245)</f>
        <v>1245</v>
      </c>
      <c r="F877" s="5" t="s">
        <v>10</v>
      </c>
    </row>
    <row r="878" spans="1:6">
      <c r="A878" s="1" t="s">
        <v>2634</v>
      </c>
      <c r="B878" s="4" t="s">
        <v>2635</v>
      </c>
      <c r="C878" s="3" t="s">
        <v>2636</v>
      </c>
      <c r="D878" s="5" t="s">
        <v>8</v>
      </c>
      <c r="E878" s="6">
        <f>VALUE(1800)</f>
        <v>1800</v>
      </c>
      <c r="F878" s="5" t="s">
        <v>10</v>
      </c>
    </row>
    <row r="879" spans="1:6" ht="29">
      <c r="A879" s="1" t="s">
        <v>2637</v>
      </c>
      <c r="B879" s="4" t="s">
        <v>2638</v>
      </c>
      <c r="C879" s="3" t="s">
        <v>2639</v>
      </c>
      <c r="D879" s="5" t="s">
        <v>8</v>
      </c>
      <c r="E879" s="6">
        <f>VALUE(1800)</f>
        <v>1800</v>
      </c>
      <c r="F879" s="5" t="s">
        <v>10</v>
      </c>
    </row>
    <row r="880" spans="1:6" ht="29">
      <c r="A880" s="1" t="s">
        <v>2640</v>
      </c>
      <c r="B880" s="4" t="s">
        <v>2641</v>
      </c>
      <c r="C880" s="3" t="s">
        <v>2642</v>
      </c>
      <c r="D880" s="5" t="s">
        <v>8</v>
      </c>
      <c r="E880" s="6">
        <f>VALUE(13.5)</f>
        <v>13.5</v>
      </c>
      <c r="F880" s="5" t="s">
        <v>10</v>
      </c>
    </row>
    <row r="881" spans="1:6" ht="29">
      <c r="A881" s="1" t="s">
        <v>2643</v>
      </c>
      <c r="B881" s="4" t="s">
        <v>2644</v>
      </c>
      <c r="C881" s="3" t="s">
        <v>2645</v>
      </c>
      <c r="D881" s="5" t="s">
        <v>8</v>
      </c>
      <c r="E881" s="6">
        <f>VALUE(27.45)</f>
        <v>27.45</v>
      </c>
      <c r="F881" s="5" t="s">
        <v>10</v>
      </c>
    </row>
    <row r="882" spans="1:6" ht="29">
      <c r="A882" s="1" t="s">
        <v>2646</v>
      </c>
      <c r="B882" s="4" t="s">
        <v>2647</v>
      </c>
      <c r="C882" s="3" t="s">
        <v>2648</v>
      </c>
      <c r="D882" s="5" t="s">
        <v>8</v>
      </c>
      <c r="E882" s="6">
        <f>VALUE(90)</f>
        <v>90</v>
      </c>
      <c r="F882" s="5" t="s">
        <v>10</v>
      </c>
    </row>
    <row r="883" spans="1:6" ht="29">
      <c r="A883" s="1" t="s">
        <v>2649</v>
      </c>
      <c r="B883" s="4" t="s">
        <v>2650</v>
      </c>
      <c r="C883" s="3" t="s">
        <v>2651</v>
      </c>
      <c r="D883" s="5" t="s">
        <v>8</v>
      </c>
      <c r="E883" s="6">
        <f>VALUE(64.75)</f>
        <v>64.75</v>
      </c>
      <c r="F883" s="5" t="s">
        <v>10</v>
      </c>
    </row>
    <row r="884" spans="1:6">
      <c r="A884" s="1" t="s">
        <v>2652</v>
      </c>
      <c r="B884" s="4" t="s">
        <v>2653</v>
      </c>
      <c r="C884" s="3" t="s">
        <v>2654</v>
      </c>
      <c r="D884" s="5" t="s">
        <v>8</v>
      </c>
      <c r="E884" s="6">
        <f>VALUE(79.75)</f>
        <v>79.75</v>
      </c>
      <c r="F884" s="5" t="s">
        <v>10</v>
      </c>
    </row>
    <row r="885" spans="1:6" ht="29">
      <c r="A885" s="1" t="s">
        <v>2655</v>
      </c>
      <c r="B885" s="4" t="s">
        <v>2656</v>
      </c>
      <c r="C885" s="3" t="s">
        <v>2657</v>
      </c>
      <c r="D885" s="5" t="s">
        <v>8</v>
      </c>
      <c r="E885" s="6">
        <f>VALUE(89.75)</f>
        <v>89.75</v>
      </c>
      <c r="F885" s="5" t="s">
        <v>10</v>
      </c>
    </row>
    <row r="886" spans="1:6" ht="29">
      <c r="A886" s="1" t="s">
        <v>2658</v>
      </c>
      <c r="B886" s="4" t="s">
        <v>2659</v>
      </c>
      <c r="C886" s="3" t="s">
        <v>2660</v>
      </c>
      <c r="D886" s="5" t="s">
        <v>8</v>
      </c>
      <c r="E886" s="6">
        <f>VALUE(7.45)</f>
        <v>7.45</v>
      </c>
      <c r="F886" s="5" t="s">
        <v>10</v>
      </c>
    </row>
    <row r="887" spans="1:6">
      <c r="A887" s="1" t="s">
        <v>2661</v>
      </c>
      <c r="B887" s="4" t="s">
        <v>2662</v>
      </c>
      <c r="C887" s="3" t="s">
        <v>2663</v>
      </c>
      <c r="D887" s="5" t="s">
        <v>8</v>
      </c>
      <c r="E887" s="6">
        <f>VALUE(12.25)</f>
        <v>12.25</v>
      </c>
      <c r="F887" s="5" t="s">
        <v>10</v>
      </c>
    </row>
    <row r="888" spans="1:6">
      <c r="A888" s="1" t="s">
        <v>2664</v>
      </c>
      <c r="B888" s="4" t="s">
        <v>2665</v>
      </c>
      <c r="C888" s="3" t="s">
        <v>2666</v>
      </c>
      <c r="D888" s="5" t="s">
        <v>8</v>
      </c>
      <c r="E888" s="6">
        <f>VALUE(22.25)</f>
        <v>22.25</v>
      </c>
      <c r="F888" s="5" t="s">
        <v>10</v>
      </c>
    </row>
    <row r="889" spans="1:6" ht="29">
      <c r="A889" s="1" t="s">
        <v>2667</v>
      </c>
      <c r="B889" s="4" t="s">
        <v>2668</v>
      </c>
      <c r="C889" s="3" t="s">
        <v>2669</v>
      </c>
      <c r="D889" s="5" t="s">
        <v>8</v>
      </c>
      <c r="E889" s="6">
        <f>VALUE(999.75)</f>
        <v>999.75</v>
      </c>
      <c r="F889" s="5" t="s">
        <v>10</v>
      </c>
    </row>
    <row r="890" spans="1:6" ht="29">
      <c r="A890" s="1" t="s">
        <v>2670</v>
      </c>
      <c r="B890" s="4" t="s">
        <v>2671</v>
      </c>
      <c r="C890" s="3" t="s">
        <v>2672</v>
      </c>
      <c r="D890" s="5" t="s">
        <v>8</v>
      </c>
      <c r="E890" s="6">
        <f>VALUE(750)</f>
        <v>750</v>
      </c>
      <c r="F890" s="5" t="s">
        <v>10</v>
      </c>
    </row>
    <row r="891" spans="1:6" ht="29">
      <c r="A891" s="1" t="s">
        <v>2673</v>
      </c>
      <c r="B891" s="4" t="s">
        <v>2674</v>
      </c>
      <c r="C891" s="3" t="s">
        <v>2675</v>
      </c>
      <c r="D891" s="5" t="s">
        <v>8</v>
      </c>
      <c r="E891" s="6">
        <f>VALUE(3100)</f>
        <v>3100</v>
      </c>
      <c r="F891" s="5" t="s">
        <v>10</v>
      </c>
    </row>
    <row r="892" spans="1:6" ht="29">
      <c r="A892" s="1" t="s">
        <v>2676</v>
      </c>
      <c r="B892" s="4" t="s">
        <v>2677</v>
      </c>
      <c r="C892" s="3" t="s">
        <v>2678</v>
      </c>
      <c r="D892" s="5" t="s">
        <v>8</v>
      </c>
      <c r="E892" s="6">
        <f>VALUE(5000)</f>
        <v>5000</v>
      </c>
      <c r="F892" s="5" t="s">
        <v>10</v>
      </c>
    </row>
    <row r="893" spans="1:6" ht="29">
      <c r="A893" s="1" t="s">
        <v>2679</v>
      </c>
      <c r="B893" s="4" t="s">
        <v>2680</v>
      </c>
      <c r="C893" s="3" t="s">
        <v>2681</v>
      </c>
      <c r="D893" s="5" t="s">
        <v>8</v>
      </c>
      <c r="E893" s="6">
        <f>VALUE(11250)</f>
        <v>11250</v>
      </c>
      <c r="F893" s="5" t="s">
        <v>10</v>
      </c>
    </row>
    <row r="894" spans="1:6" ht="29">
      <c r="A894" s="1" t="s">
        <v>2682</v>
      </c>
      <c r="B894" s="4" t="s">
        <v>2683</v>
      </c>
      <c r="C894" s="3" t="s">
        <v>2684</v>
      </c>
      <c r="D894" s="5" t="s">
        <v>8</v>
      </c>
      <c r="E894" s="6">
        <f>VALUE(274.75)</f>
        <v>274.75</v>
      </c>
      <c r="F894" s="5" t="s">
        <v>10</v>
      </c>
    </row>
    <row r="895" spans="1:6" ht="29">
      <c r="A895" s="1" t="s">
        <v>2685</v>
      </c>
      <c r="B895" s="4" t="s">
        <v>2686</v>
      </c>
      <c r="C895" s="3" t="s">
        <v>2687</v>
      </c>
      <c r="D895" s="5" t="s">
        <v>8</v>
      </c>
      <c r="E895" s="6">
        <f>VALUE(74.75)</f>
        <v>74.75</v>
      </c>
      <c r="F895" s="5" t="s">
        <v>10</v>
      </c>
    </row>
    <row r="896" spans="1:6" ht="29">
      <c r="A896" s="1" t="s">
        <v>2688</v>
      </c>
      <c r="B896" s="4" t="s">
        <v>2689</v>
      </c>
      <c r="C896" s="3" t="s">
        <v>2690</v>
      </c>
      <c r="D896" s="5" t="s">
        <v>8</v>
      </c>
      <c r="E896" s="6">
        <f>VALUE(324.5)</f>
        <v>324.5</v>
      </c>
      <c r="F896" s="5" t="s">
        <v>10</v>
      </c>
    </row>
    <row r="897" spans="1:6" ht="29">
      <c r="A897" s="1" t="s">
        <v>2691</v>
      </c>
      <c r="B897" s="4" t="s">
        <v>2692</v>
      </c>
      <c r="C897" s="3" t="s">
        <v>2693</v>
      </c>
      <c r="D897" s="5" t="s">
        <v>8</v>
      </c>
      <c r="E897" s="6">
        <f>VALUE(374.5)</f>
        <v>374.5</v>
      </c>
      <c r="F897" s="5" t="s">
        <v>10</v>
      </c>
    </row>
    <row r="898" spans="1:6" ht="29">
      <c r="A898" s="1" t="s">
        <v>2694</v>
      </c>
      <c r="B898" s="4" t="s">
        <v>2695</v>
      </c>
      <c r="C898" s="3" t="s">
        <v>2696</v>
      </c>
      <c r="D898" s="5" t="s">
        <v>8</v>
      </c>
      <c r="E898" s="6">
        <f>VALUE(449.5)</f>
        <v>449.5</v>
      </c>
      <c r="F898" s="5" t="s">
        <v>10</v>
      </c>
    </row>
    <row r="899" spans="1:6" ht="29">
      <c r="A899" s="1" t="s">
        <v>2697</v>
      </c>
      <c r="B899" s="4" t="s">
        <v>2698</v>
      </c>
      <c r="C899" s="3" t="s">
        <v>2699</v>
      </c>
      <c r="D899" s="5" t="s">
        <v>8</v>
      </c>
      <c r="E899" s="6">
        <f>VALUE(135)</f>
        <v>135</v>
      </c>
      <c r="F899" s="5" t="s">
        <v>10</v>
      </c>
    </row>
    <row r="900" spans="1:6" ht="29">
      <c r="A900" s="1" t="s">
        <v>2700</v>
      </c>
      <c r="B900" s="4" t="s">
        <v>2701</v>
      </c>
      <c r="C900" s="3" t="s">
        <v>2702</v>
      </c>
      <c r="D900" s="5" t="s">
        <v>8</v>
      </c>
      <c r="E900" s="6">
        <f>VALUE(174.75)</f>
        <v>174.75</v>
      </c>
      <c r="F900" s="5" t="s">
        <v>10</v>
      </c>
    </row>
    <row r="901" spans="1:6" ht="29">
      <c r="A901" s="1" t="s">
        <v>2703</v>
      </c>
      <c r="B901" s="4" t="s">
        <v>2704</v>
      </c>
      <c r="C901" s="3" t="s">
        <v>2705</v>
      </c>
      <c r="D901" s="5" t="s">
        <v>8</v>
      </c>
      <c r="E901" s="6">
        <f>VALUE(197.25)</f>
        <v>197.25</v>
      </c>
      <c r="F901" s="5" t="s">
        <v>10</v>
      </c>
    </row>
    <row r="902" spans="1:6" ht="29">
      <c r="A902" s="1" t="s">
        <v>2706</v>
      </c>
      <c r="B902" s="4" t="s">
        <v>2707</v>
      </c>
      <c r="C902" s="3" t="s">
        <v>2708</v>
      </c>
      <c r="D902" s="5" t="s">
        <v>8</v>
      </c>
      <c r="E902" s="6">
        <f>VALUE(297.5)</f>
        <v>297.5</v>
      </c>
      <c r="F902" s="5" t="s">
        <v>10</v>
      </c>
    </row>
    <row r="903" spans="1:6" ht="29">
      <c r="A903" s="1" t="s">
        <v>2709</v>
      </c>
      <c r="B903" s="4" t="s">
        <v>2710</v>
      </c>
      <c r="C903" s="3" t="s">
        <v>2711</v>
      </c>
      <c r="D903" s="5" t="s">
        <v>8</v>
      </c>
      <c r="E903" s="6">
        <f>VALUE(197.25)</f>
        <v>197.25</v>
      </c>
      <c r="F903" s="5" t="s">
        <v>10</v>
      </c>
    </row>
    <row r="904" spans="1:6" ht="43.5">
      <c r="A904" s="1" t="s">
        <v>2712</v>
      </c>
      <c r="B904" s="4" t="s">
        <v>2713</v>
      </c>
      <c r="C904" s="3" t="s">
        <v>2714</v>
      </c>
      <c r="D904" s="5" t="s">
        <v>8</v>
      </c>
      <c r="E904" s="6">
        <f>VALUE(150)</f>
        <v>150</v>
      </c>
      <c r="F904" s="5" t="s">
        <v>10</v>
      </c>
    </row>
    <row r="905" spans="1:6" ht="43.5">
      <c r="A905" s="1" t="s">
        <v>2715</v>
      </c>
      <c r="B905" s="4" t="s">
        <v>2716</v>
      </c>
      <c r="C905" s="3" t="s">
        <v>2717</v>
      </c>
      <c r="D905" s="5" t="s">
        <v>8</v>
      </c>
      <c r="E905" s="6">
        <f>VALUE(125)</f>
        <v>125</v>
      </c>
      <c r="F905" s="5" t="s">
        <v>10</v>
      </c>
    </row>
    <row r="906" spans="1:6" ht="29">
      <c r="A906" s="1" t="s">
        <v>2718</v>
      </c>
      <c r="B906" s="4" t="s">
        <v>2719</v>
      </c>
      <c r="C906" s="3" t="s">
        <v>2720</v>
      </c>
      <c r="D906" s="5" t="s">
        <v>8</v>
      </c>
      <c r="E906" s="6">
        <f>VALUE(874.75)</f>
        <v>874.75</v>
      </c>
      <c r="F906" s="5" t="s">
        <v>10</v>
      </c>
    </row>
    <row r="907" spans="1:6" ht="29">
      <c r="A907" s="1" t="s">
        <v>2721</v>
      </c>
      <c r="B907" s="4" t="s">
        <v>2722</v>
      </c>
      <c r="C907" s="3" t="s">
        <v>2723</v>
      </c>
      <c r="D907" s="5" t="s">
        <v>8</v>
      </c>
      <c r="E907" s="6">
        <f>VALUE(899.75)</f>
        <v>899.75</v>
      </c>
      <c r="F907" s="5" t="s">
        <v>10</v>
      </c>
    </row>
    <row r="908" spans="1:6" ht="29">
      <c r="A908" s="1" t="s">
        <v>2724</v>
      </c>
      <c r="B908" s="4" t="s">
        <v>2725</v>
      </c>
      <c r="C908" s="3" t="s">
        <v>2726</v>
      </c>
      <c r="D908" s="5" t="s">
        <v>8</v>
      </c>
      <c r="E908" s="6">
        <f>VALUE(874.75)</f>
        <v>874.75</v>
      </c>
      <c r="F908" s="5" t="s">
        <v>10</v>
      </c>
    </row>
    <row r="909" spans="1:6" ht="29">
      <c r="A909" s="1" t="s">
        <v>2727</v>
      </c>
      <c r="B909" s="4" t="s">
        <v>2728</v>
      </c>
      <c r="C909" s="3" t="s">
        <v>2729</v>
      </c>
      <c r="D909" s="5" t="s">
        <v>8</v>
      </c>
      <c r="E909" s="6">
        <f>VALUE(899.75)</f>
        <v>899.75</v>
      </c>
      <c r="F909" s="5" t="s">
        <v>10</v>
      </c>
    </row>
    <row r="910" spans="1:6" ht="29">
      <c r="A910" s="1" t="s">
        <v>2730</v>
      </c>
      <c r="B910" s="4" t="s">
        <v>2731</v>
      </c>
      <c r="C910" s="3" t="s">
        <v>2732</v>
      </c>
      <c r="D910" s="5" t="s">
        <v>8</v>
      </c>
      <c r="E910" s="6">
        <f>VALUE(109.75)</f>
        <v>109.75</v>
      </c>
      <c r="F910" s="5" t="s">
        <v>10</v>
      </c>
    </row>
    <row r="911" spans="1:6" ht="29">
      <c r="A911" s="1" t="s">
        <v>2733</v>
      </c>
      <c r="B911" s="4" t="s">
        <v>2734</v>
      </c>
      <c r="C911" s="3" t="s">
        <v>2735</v>
      </c>
      <c r="D911" s="5" t="s">
        <v>8</v>
      </c>
      <c r="E911" s="6">
        <f>VALUE(109.75)</f>
        <v>109.75</v>
      </c>
      <c r="F911" s="5" t="s">
        <v>10</v>
      </c>
    </row>
    <row r="912" spans="1:6" ht="29">
      <c r="A912" s="1" t="s">
        <v>2736</v>
      </c>
      <c r="B912" s="4" t="s">
        <v>2737</v>
      </c>
      <c r="C912" s="3" t="s">
        <v>2738</v>
      </c>
      <c r="D912" s="5" t="s">
        <v>8</v>
      </c>
      <c r="E912" s="6">
        <f>VALUE(119.75)</f>
        <v>119.75</v>
      </c>
      <c r="F912" s="5" t="s">
        <v>10</v>
      </c>
    </row>
    <row r="913" spans="1:6" ht="29">
      <c r="A913" s="1" t="s">
        <v>2739</v>
      </c>
      <c r="B913" s="4" t="s">
        <v>2740</v>
      </c>
      <c r="C913" s="3" t="s">
        <v>2741</v>
      </c>
      <c r="D913" s="5" t="s">
        <v>8</v>
      </c>
      <c r="E913" s="6">
        <f>VALUE(74.75)</f>
        <v>74.75</v>
      </c>
      <c r="F913" s="5" t="s">
        <v>10</v>
      </c>
    </row>
    <row r="914" spans="1:6" ht="29">
      <c r="A914" s="1" t="s">
        <v>2742</v>
      </c>
      <c r="B914" s="4" t="s">
        <v>2743</v>
      </c>
      <c r="C914" s="3" t="s">
        <v>2744</v>
      </c>
      <c r="D914" s="5" t="s">
        <v>8</v>
      </c>
      <c r="E914" s="6">
        <f>VALUE(74.75)</f>
        <v>74.75</v>
      </c>
      <c r="F914" s="5" t="s">
        <v>10</v>
      </c>
    </row>
    <row r="915" spans="1:6" ht="29">
      <c r="A915" s="1" t="s">
        <v>2745</v>
      </c>
      <c r="B915" s="4" t="s">
        <v>2746</v>
      </c>
      <c r="C915" s="3" t="s">
        <v>2747</v>
      </c>
      <c r="D915" s="5" t="s">
        <v>8</v>
      </c>
      <c r="E915" s="6">
        <f>VALUE(84.75)</f>
        <v>84.75</v>
      </c>
      <c r="F915" s="5" t="s">
        <v>10</v>
      </c>
    </row>
    <row r="916" spans="1:6" ht="29">
      <c r="A916" s="1" t="s">
        <v>2748</v>
      </c>
      <c r="B916" s="4" t="s">
        <v>2749</v>
      </c>
      <c r="C916" s="3" t="s">
        <v>2750</v>
      </c>
      <c r="D916" s="5" t="s">
        <v>8</v>
      </c>
      <c r="E916" s="6">
        <f>VALUE(649.75)</f>
        <v>649.75</v>
      </c>
      <c r="F916" s="5" t="s">
        <v>10</v>
      </c>
    </row>
    <row r="917" spans="1:6" ht="29">
      <c r="A917" s="1" t="s">
        <v>2751</v>
      </c>
      <c r="B917" s="4" t="s">
        <v>2752</v>
      </c>
      <c r="C917" s="3" t="s">
        <v>2753</v>
      </c>
      <c r="D917" s="5" t="s">
        <v>8</v>
      </c>
      <c r="E917" s="6">
        <f>VALUE(654.75)</f>
        <v>654.75</v>
      </c>
      <c r="F917" s="5" t="s">
        <v>10</v>
      </c>
    </row>
    <row r="918" spans="1:6" ht="29">
      <c r="A918" s="1" t="s">
        <v>2754</v>
      </c>
      <c r="B918" s="4" t="s">
        <v>2755</v>
      </c>
      <c r="C918" s="3" t="s">
        <v>2756</v>
      </c>
      <c r="D918" s="5" t="s">
        <v>8</v>
      </c>
      <c r="E918" s="6">
        <f>VALUE(799.75)</f>
        <v>799.75</v>
      </c>
      <c r="F918" s="5" t="s">
        <v>10</v>
      </c>
    </row>
    <row r="919" spans="1:6" ht="29">
      <c r="A919" s="1" t="s">
        <v>2757</v>
      </c>
      <c r="B919" s="4" t="s">
        <v>2758</v>
      </c>
      <c r="C919" s="3" t="s">
        <v>2759</v>
      </c>
      <c r="D919" s="5" t="s">
        <v>8</v>
      </c>
      <c r="E919" s="6">
        <f>VALUE(799.75)</f>
        <v>799.75</v>
      </c>
      <c r="F919" s="5" t="s">
        <v>10</v>
      </c>
    </row>
    <row r="920" spans="1:6" ht="29">
      <c r="A920" s="1" t="s">
        <v>2760</v>
      </c>
      <c r="B920" s="4" t="s">
        <v>2761</v>
      </c>
      <c r="C920" s="3" t="s">
        <v>2762</v>
      </c>
      <c r="D920" s="5" t="s">
        <v>8</v>
      </c>
      <c r="E920" s="6">
        <f>VALUE(837.25)</f>
        <v>837.25</v>
      </c>
      <c r="F920" s="5" t="s">
        <v>10</v>
      </c>
    </row>
    <row r="921" spans="1:6" ht="29">
      <c r="A921" s="1" t="s">
        <v>2763</v>
      </c>
      <c r="B921" s="4" t="s">
        <v>2764</v>
      </c>
      <c r="C921" s="3" t="s">
        <v>2765</v>
      </c>
      <c r="D921" s="5" t="s">
        <v>8</v>
      </c>
      <c r="E921" s="6">
        <f>VALUE(837.25)</f>
        <v>837.25</v>
      </c>
      <c r="F921" s="5" t="s">
        <v>10</v>
      </c>
    </row>
    <row r="922" spans="1:6" ht="29">
      <c r="A922" s="1" t="s">
        <v>2766</v>
      </c>
      <c r="B922" s="4" t="s">
        <v>2767</v>
      </c>
      <c r="C922" s="3" t="s">
        <v>2768</v>
      </c>
      <c r="D922" s="5" t="s">
        <v>8</v>
      </c>
      <c r="E922" s="6">
        <f>VALUE(2199.75)</f>
        <v>2199.75</v>
      </c>
      <c r="F922" s="5" t="s">
        <v>10</v>
      </c>
    </row>
    <row r="923" spans="1:6" ht="29">
      <c r="A923" s="1" t="s">
        <v>2769</v>
      </c>
      <c r="B923" s="4" t="s">
        <v>2770</v>
      </c>
      <c r="C923" s="3" t="s">
        <v>2771</v>
      </c>
      <c r="D923" s="5" t="s">
        <v>8</v>
      </c>
      <c r="E923" s="6">
        <f>VALUE(1924.75)</f>
        <v>1924.75</v>
      </c>
      <c r="F923" s="5" t="s">
        <v>10</v>
      </c>
    </row>
    <row r="924" spans="1:6" ht="29">
      <c r="A924" s="1" t="s">
        <v>2772</v>
      </c>
      <c r="B924" s="4" t="s">
        <v>2773</v>
      </c>
      <c r="C924" s="3" t="s">
        <v>2774</v>
      </c>
      <c r="D924" s="5" t="s">
        <v>8</v>
      </c>
      <c r="E924" s="6">
        <f>VALUE(2249.75)</f>
        <v>2249.75</v>
      </c>
      <c r="F924" s="5" t="s">
        <v>10</v>
      </c>
    </row>
    <row r="925" spans="1:6" ht="29">
      <c r="A925" s="1" t="s">
        <v>2775</v>
      </c>
      <c r="B925" s="4" t="s">
        <v>2776</v>
      </c>
      <c r="C925" s="3" t="s">
        <v>2777</v>
      </c>
      <c r="D925" s="5" t="s">
        <v>8</v>
      </c>
      <c r="E925" s="6">
        <f>VALUE(1974.75)</f>
        <v>1974.75</v>
      </c>
      <c r="F925" s="5" t="s">
        <v>10</v>
      </c>
    </row>
    <row r="926" spans="1:6" ht="29">
      <c r="A926" s="1" t="s">
        <v>2778</v>
      </c>
      <c r="B926" s="4" t="s">
        <v>2779</v>
      </c>
      <c r="C926" s="3" t="s">
        <v>2780</v>
      </c>
      <c r="D926" s="5" t="s">
        <v>8</v>
      </c>
      <c r="E926" s="6">
        <f>VALUE(799.75)</f>
        <v>799.75</v>
      </c>
      <c r="F926" s="5" t="s">
        <v>10</v>
      </c>
    </row>
    <row r="927" spans="1:6" ht="29">
      <c r="A927" s="1" t="s">
        <v>2781</v>
      </c>
      <c r="B927" s="4" t="s">
        <v>2782</v>
      </c>
      <c r="C927" s="3" t="s">
        <v>2783</v>
      </c>
      <c r="D927" s="5" t="s">
        <v>8</v>
      </c>
      <c r="E927" s="6">
        <f>VALUE(804.75)</f>
        <v>804.75</v>
      </c>
      <c r="F927" s="5" t="s">
        <v>10</v>
      </c>
    </row>
    <row r="928" spans="1:6" ht="29">
      <c r="A928" s="1" t="s">
        <v>2784</v>
      </c>
      <c r="B928" s="4" t="s">
        <v>2785</v>
      </c>
      <c r="C928" s="3" t="s">
        <v>2786</v>
      </c>
      <c r="D928" s="5" t="s">
        <v>8</v>
      </c>
      <c r="E928" s="6">
        <f>VALUE(1350)</f>
        <v>1350</v>
      </c>
      <c r="F928" s="5" t="s">
        <v>10</v>
      </c>
    </row>
    <row r="929" spans="1:6" ht="29">
      <c r="A929" s="1" t="s">
        <v>2787</v>
      </c>
      <c r="B929" s="4" t="s">
        <v>2788</v>
      </c>
      <c r="C929" s="3" t="s">
        <v>2789</v>
      </c>
      <c r="D929" s="5" t="s">
        <v>8</v>
      </c>
      <c r="E929" s="6">
        <f>VALUE(1450)</f>
        <v>1450</v>
      </c>
      <c r="F929" s="5" t="s">
        <v>10</v>
      </c>
    </row>
    <row r="930" spans="1:6" ht="29">
      <c r="A930" s="1" t="s">
        <v>2790</v>
      </c>
      <c r="B930" s="4" t="s">
        <v>2791</v>
      </c>
      <c r="C930" s="3" t="s">
        <v>2792</v>
      </c>
      <c r="D930" s="5" t="s">
        <v>8</v>
      </c>
      <c r="E930" s="6">
        <f>VALUE(1750)</f>
        <v>1750</v>
      </c>
      <c r="F930" s="5" t="s">
        <v>10</v>
      </c>
    </row>
    <row r="931" spans="1:6" ht="29">
      <c r="A931" s="1" t="s">
        <v>2793</v>
      </c>
      <c r="B931" s="4" t="s">
        <v>2794</v>
      </c>
      <c r="C931" s="3" t="s">
        <v>2795</v>
      </c>
      <c r="D931" s="5" t="s">
        <v>8</v>
      </c>
      <c r="E931" s="6">
        <f>VALUE(1850)</f>
        <v>1850</v>
      </c>
      <c r="F931" s="5" t="s">
        <v>10</v>
      </c>
    </row>
    <row r="932" spans="1:6" ht="29">
      <c r="A932" s="1" t="s">
        <v>2796</v>
      </c>
      <c r="B932" s="4" t="s">
        <v>2797</v>
      </c>
      <c r="C932" s="3" t="s">
        <v>2798</v>
      </c>
      <c r="D932" s="5" t="s">
        <v>8</v>
      </c>
      <c r="E932" s="6">
        <f>VALUE(2150)</f>
        <v>2150</v>
      </c>
      <c r="F932" s="5" t="s">
        <v>10</v>
      </c>
    </row>
    <row r="933" spans="1:6" ht="29">
      <c r="A933" s="1" t="s">
        <v>2799</v>
      </c>
      <c r="B933" s="4" t="s">
        <v>2800</v>
      </c>
      <c r="C933" s="3" t="s">
        <v>2801</v>
      </c>
      <c r="D933" s="5" t="s">
        <v>8</v>
      </c>
      <c r="E933" s="6">
        <f>VALUE(2250)</f>
        <v>2250</v>
      </c>
      <c r="F933" s="5" t="s">
        <v>10</v>
      </c>
    </row>
    <row r="934" spans="1:6" ht="29">
      <c r="A934" s="1" t="s">
        <v>2802</v>
      </c>
      <c r="B934" s="4" t="s">
        <v>2803</v>
      </c>
      <c r="C934" s="3" t="s">
        <v>2804</v>
      </c>
      <c r="D934" s="5" t="s">
        <v>8</v>
      </c>
      <c r="E934" s="6">
        <f>VALUE(3550)</f>
        <v>3550</v>
      </c>
      <c r="F934" s="5" t="s">
        <v>10</v>
      </c>
    </row>
    <row r="935" spans="1:6" ht="29">
      <c r="A935" s="1" t="s">
        <v>2805</v>
      </c>
      <c r="B935" s="4" t="s">
        <v>2806</v>
      </c>
      <c r="C935" s="3" t="s">
        <v>2807</v>
      </c>
      <c r="D935" s="5" t="s">
        <v>8</v>
      </c>
      <c r="E935" s="6">
        <f>VALUE(3750)</f>
        <v>3750</v>
      </c>
      <c r="F935" s="5" t="s">
        <v>10</v>
      </c>
    </row>
    <row r="936" spans="1:6" ht="29">
      <c r="A936" s="1" t="s">
        <v>2808</v>
      </c>
      <c r="B936" s="4" t="s">
        <v>2809</v>
      </c>
      <c r="C936" s="3" t="s">
        <v>2810</v>
      </c>
      <c r="D936" s="5" t="s">
        <v>8</v>
      </c>
      <c r="E936" s="6">
        <f>VALUE(4400)</f>
        <v>4400</v>
      </c>
      <c r="F936" s="5" t="s">
        <v>10</v>
      </c>
    </row>
    <row r="937" spans="1:6" ht="29">
      <c r="A937" s="1" t="s">
        <v>2811</v>
      </c>
      <c r="B937" s="4" t="s">
        <v>2812</v>
      </c>
      <c r="C937" s="3" t="s">
        <v>2813</v>
      </c>
      <c r="D937" s="5" t="s">
        <v>8</v>
      </c>
      <c r="E937" s="6">
        <f>VALUE(4600)</f>
        <v>4600</v>
      </c>
      <c r="F937" s="5" t="s">
        <v>10</v>
      </c>
    </row>
    <row r="938" spans="1:6" ht="29">
      <c r="A938" s="1" t="s">
        <v>2814</v>
      </c>
      <c r="B938" s="4" t="s">
        <v>2815</v>
      </c>
      <c r="C938" s="3" t="s">
        <v>2816</v>
      </c>
      <c r="D938" s="5" t="s">
        <v>8</v>
      </c>
      <c r="E938" s="6">
        <f>VALUE(749.75)</f>
        <v>749.75</v>
      </c>
      <c r="F938" s="5" t="s">
        <v>10</v>
      </c>
    </row>
    <row r="939" spans="1:6" ht="29">
      <c r="A939" s="1" t="s">
        <v>2817</v>
      </c>
      <c r="B939" s="4" t="s">
        <v>2818</v>
      </c>
      <c r="C939" s="3" t="s">
        <v>2819</v>
      </c>
      <c r="D939" s="5" t="s">
        <v>8</v>
      </c>
      <c r="E939" s="6">
        <f>VALUE(754.75)</f>
        <v>754.75</v>
      </c>
      <c r="F939" s="5" t="s">
        <v>10</v>
      </c>
    </row>
    <row r="940" spans="1:6" ht="29">
      <c r="A940" s="1" t="s">
        <v>2820</v>
      </c>
      <c r="B940" s="4" t="s">
        <v>2821</v>
      </c>
      <c r="C940" s="3" t="s">
        <v>2822</v>
      </c>
      <c r="D940" s="5" t="s">
        <v>8</v>
      </c>
      <c r="E940" s="6">
        <f>VALUE(3)</f>
        <v>3</v>
      </c>
      <c r="F940" s="5" t="s">
        <v>10</v>
      </c>
    </row>
    <row r="941" spans="1:6" ht="29">
      <c r="A941" s="1" t="s">
        <v>2823</v>
      </c>
      <c r="B941" s="4" t="s">
        <v>2824</v>
      </c>
      <c r="C941" s="3" t="s">
        <v>2825</v>
      </c>
      <c r="D941" s="5" t="s">
        <v>8</v>
      </c>
      <c r="E941" s="6">
        <f>VALUE(3)</f>
        <v>3</v>
      </c>
      <c r="F941" s="5" t="s">
        <v>10</v>
      </c>
    </row>
    <row r="942" spans="1:6" ht="29">
      <c r="A942" s="1" t="s">
        <v>2826</v>
      </c>
      <c r="B942" s="4" t="s">
        <v>2827</v>
      </c>
      <c r="C942" s="3" t="s">
        <v>2828</v>
      </c>
      <c r="D942" s="5" t="s">
        <v>8</v>
      </c>
      <c r="E942" s="6">
        <f>VALUE(3)</f>
        <v>3</v>
      </c>
      <c r="F942" s="5" t="s">
        <v>10</v>
      </c>
    </row>
    <row r="943" spans="1:6" ht="29">
      <c r="A943" s="1" t="s">
        <v>2829</v>
      </c>
      <c r="B943" s="4" t="s">
        <v>2830</v>
      </c>
      <c r="C943" s="3" t="s">
        <v>2831</v>
      </c>
      <c r="D943" s="5" t="s">
        <v>8</v>
      </c>
      <c r="E943" s="6">
        <f>VALUE(3)</f>
        <v>3</v>
      </c>
      <c r="F943" s="5" t="s">
        <v>10</v>
      </c>
    </row>
    <row r="944" spans="1:6">
      <c r="A944" s="1" t="s">
        <v>2832</v>
      </c>
      <c r="B944" s="4" t="s">
        <v>2833</v>
      </c>
      <c r="C944" s="3" t="s">
        <v>2834</v>
      </c>
      <c r="D944" s="5" t="s">
        <v>8</v>
      </c>
      <c r="E944" s="6">
        <f>VALUE(0.6)</f>
        <v>0.6</v>
      </c>
      <c r="F944" s="5" t="s">
        <v>10</v>
      </c>
    </row>
    <row r="945" spans="1:6" ht="43.5">
      <c r="A945" s="1" t="s">
        <v>2835</v>
      </c>
      <c r="B945" s="4" t="s">
        <v>2836</v>
      </c>
      <c r="C945" s="3" t="s">
        <v>2837</v>
      </c>
      <c r="D945" s="5" t="s">
        <v>8</v>
      </c>
      <c r="E945" s="6">
        <f>VALUE(849.75)</f>
        <v>849.75</v>
      </c>
      <c r="F945" s="5" t="s">
        <v>10</v>
      </c>
    </row>
    <row r="946" spans="1:6" ht="43.5">
      <c r="A946" s="1" t="s">
        <v>2838</v>
      </c>
      <c r="B946" s="4" t="s">
        <v>2839</v>
      </c>
      <c r="C946" s="3" t="s">
        <v>2840</v>
      </c>
      <c r="D946" s="5" t="s">
        <v>8</v>
      </c>
      <c r="E946" s="6">
        <f>VALUE(699.75)</f>
        <v>699.75</v>
      </c>
      <c r="F946" s="5" t="s">
        <v>10</v>
      </c>
    </row>
    <row r="947" spans="1:6" ht="29">
      <c r="A947" s="1" t="s">
        <v>2841</v>
      </c>
      <c r="B947" s="4" t="s">
        <v>2842</v>
      </c>
      <c r="C947" s="3" t="s">
        <v>2843</v>
      </c>
      <c r="D947" s="5" t="s">
        <v>8</v>
      </c>
      <c r="E947" s="6">
        <f>VALUE(899.75)</f>
        <v>899.75</v>
      </c>
      <c r="F947" s="5" t="s">
        <v>10</v>
      </c>
    </row>
    <row r="948" spans="1:6" ht="29">
      <c r="A948" s="1" t="s">
        <v>2844</v>
      </c>
      <c r="B948" s="4" t="s">
        <v>2845</v>
      </c>
      <c r="C948" s="3" t="s">
        <v>2846</v>
      </c>
      <c r="D948" s="5" t="s">
        <v>8</v>
      </c>
      <c r="E948" s="6">
        <f>VALUE(749.75)</f>
        <v>749.75</v>
      </c>
      <c r="F948" s="5" t="s">
        <v>10</v>
      </c>
    </row>
    <row r="949" spans="1:6" ht="43.5">
      <c r="A949" s="1" t="s">
        <v>2847</v>
      </c>
      <c r="B949" s="4" t="s">
        <v>2848</v>
      </c>
      <c r="C949" s="3" t="s">
        <v>2849</v>
      </c>
      <c r="D949" s="5" t="s">
        <v>8</v>
      </c>
      <c r="E949" s="6">
        <f>VALUE(799.75)</f>
        <v>799.75</v>
      </c>
      <c r="F949" s="5" t="s">
        <v>10</v>
      </c>
    </row>
    <row r="950" spans="1:6" ht="29">
      <c r="A950" s="1" t="s">
        <v>2850</v>
      </c>
      <c r="B950" s="4" t="s">
        <v>2851</v>
      </c>
      <c r="C950" s="3" t="s">
        <v>2852</v>
      </c>
      <c r="D950" s="5" t="s">
        <v>8</v>
      </c>
      <c r="E950" s="6">
        <f>VALUE(649.75)</f>
        <v>649.75</v>
      </c>
      <c r="F950" s="5" t="s">
        <v>10</v>
      </c>
    </row>
    <row r="951" spans="1:6" ht="29">
      <c r="A951" s="1" t="s">
        <v>2853</v>
      </c>
      <c r="B951" s="4" t="s">
        <v>2854</v>
      </c>
      <c r="C951" s="3" t="s">
        <v>2855</v>
      </c>
      <c r="D951" s="5" t="s">
        <v>8</v>
      </c>
      <c r="E951" s="6">
        <f>VALUE(3100)</f>
        <v>3100</v>
      </c>
      <c r="F951" s="5" t="s">
        <v>10</v>
      </c>
    </row>
    <row r="952" spans="1:6" ht="29">
      <c r="A952" s="1" t="s">
        <v>2856</v>
      </c>
      <c r="B952" s="4" t="s">
        <v>2857</v>
      </c>
      <c r="C952" s="3" t="s">
        <v>2858</v>
      </c>
      <c r="D952" s="5" t="s">
        <v>8</v>
      </c>
      <c r="E952" s="6">
        <f>VALUE(2100)</f>
        <v>2100</v>
      </c>
      <c r="F952" s="5" t="s">
        <v>10</v>
      </c>
    </row>
    <row r="953" spans="1:6" ht="29">
      <c r="A953" s="1" t="s">
        <v>2859</v>
      </c>
      <c r="B953" s="4" t="s">
        <v>2860</v>
      </c>
      <c r="C953" s="3" t="s">
        <v>2861</v>
      </c>
      <c r="D953" s="5" t="s">
        <v>8</v>
      </c>
      <c r="E953" s="6">
        <f>VALUE(975)</f>
        <v>975</v>
      </c>
      <c r="F953" s="5" t="s">
        <v>10</v>
      </c>
    </row>
    <row r="954" spans="1:6" ht="29">
      <c r="A954" s="1" t="s">
        <v>2862</v>
      </c>
      <c r="B954" s="4" t="s">
        <v>2863</v>
      </c>
      <c r="C954" s="3" t="s">
        <v>2864</v>
      </c>
      <c r="D954" s="5" t="s">
        <v>8</v>
      </c>
      <c r="E954" s="6">
        <f>VALUE(2450)</f>
        <v>2450</v>
      </c>
      <c r="F954" s="5" t="s">
        <v>10</v>
      </c>
    </row>
    <row r="955" spans="1:6">
      <c r="A955" s="1" t="s">
        <v>2865</v>
      </c>
      <c r="B955" s="4" t="s">
        <v>2866</v>
      </c>
      <c r="C955" s="3" t="s">
        <v>2867</v>
      </c>
      <c r="D955" s="5" t="s">
        <v>8</v>
      </c>
      <c r="E955" s="6">
        <f>VALUE(2400)</f>
        <v>2400</v>
      </c>
      <c r="F955" s="5" t="s">
        <v>10</v>
      </c>
    </row>
    <row r="956" spans="1:6">
      <c r="A956" s="1" t="s">
        <v>2868</v>
      </c>
      <c r="B956" s="4" t="s">
        <v>2869</v>
      </c>
      <c r="C956" s="3" t="s">
        <v>2870</v>
      </c>
      <c r="D956" s="5" t="s">
        <v>8</v>
      </c>
      <c r="E956" s="6">
        <f>VALUE(2150)</f>
        <v>2150</v>
      </c>
      <c r="F956" s="5" t="s">
        <v>10</v>
      </c>
    </row>
    <row r="957" spans="1:6">
      <c r="A957" s="1" t="s">
        <v>2871</v>
      </c>
      <c r="B957" s="4" t="s">
        <v>2872</v>
      </c>
      <c r="C957" s="3" t="s">
        <v>2873</v>
      </c>
      <c r="D957" s="5" t="s">
        <v>8</v>
      </c>
      <c r="E957" s="6">
        <f>VALUE(6249.75)</f>
        <v>6249.75</v>
      </c>
      <c r="F957" s="5" t="s">
        <v>10</v>
      </c>
    </row>
    <row r="958" spans="1:6" ht="29">
      <c r="A958" s="1" t="s">
        <v>2874</v>
      </c>
      <c r="B958" s="4" t="s">
        <v>2875</v>
      </c>
      <c r="C958" s="3" t="s">
        <v>2876</v>
      </c>
      <c r="D958" s="5" t="s">
        <v>8</v>
      </c>
      <c r="E958" s="6">
        <f>VALUE(4749.75)</f>
        <v>4749.75</v>
      </c>
      <c r="F958" s="5" t="s">
        <v>10</v>
      </c>
    </row>
    <row r="959" spans="1:6">
      <c r="A959" s="1" t="s">
        <v>2877</v>
      </c>
      <c r="B959" s="4" t="s">
        <v>2878</v>
      </c>
      <c r="C959" s="3" t="s">
        <v>2879</v>
      </c>
      <c r="D959" s="5" t="s">
        <v>8</v>
      </c>
      <c r="E959" s="6">
        <f>VALUE(2950)</f>
        <v>2950</v>
      </c>
      <c r="F959" s="5" t="s">
        <v>10</v>
      </c>
    </row>
    <row r="960" spans="1:6" ht="29">
      <c r="A960" s="1" t="s">
        <v>2880</v>
      </c>
      <c r="B960" s="4" t="s">
        <v>2881</v>
      </c>
      <c r="C960" s="3" t="s">
        <v>2882</v>
      </c>
      <c r="D960" s="5" t="s">
        <v>8</v>
      </c>
      <c r="E960" s="6">
        <f>VALUE(109.5)</f>
        <v>109.5</v>
      </c>
      <c r="F960" s="5" t="s">
        <v>10</v>
      </c>
    </row>
    <row r="961" spans="1:6" ht="29">
      <c r="A961" s="1" t="s">
        <v>2883</v>
      </c>
      <c r="B961" s="4" t="s">
        <v>2884</v>
      </c>
      <c r="C961" s="3" t="s">
        <v>2885</v>
      </c>
      <c r="D961" s="5" t="s">
        <v>8</v>
      </c>
      <c r="E961" s="6">
        <f>VALUE(159.5)</f>
        <v>159.5</v>
      </c>
      <c r="F961" s="5" t="s">
        <v>10</v>
      </c>
    </row>
    <row r="962" spans="1:6" ht="29">
      <c r="A962" s="1" t="s">
        <v>2886</v>
      </c>
      <c r="B962" s="4" t="s">
        <v>2887</v>
      </c>
      <c r="C962" s="3" t="s">
        <v>2888</v>
      </c>
      <c r="D962" s="5" t="s">
        <v>8</v>
      </c>
      <c r="E962" s="6">
        <f>VALUE(209.5)</f>
        <v>209.5</v>
      </c>
      <c r="F962" s="5" t="s">
        <v>10</v>
      </c>
    </row>
    <row r="963" spans="1:6" ht="29">
      <c r="A963" s="1" t="s">
        <v>2889</v>
      </c>
      <c r="B963" s="4" t="s">
        <v>2890</v>
      </c>
      <c r="C963" s="3" t="s">
        <v>2891</v>
      </c>
      <c r="D963" s="5" t="s">
        <v>8</v>
      </c>
      <c r="E963" s="6">
        <f>VALUE(309.5)</f>
        <v>309.5</v>
      </c>
      <c r="F963" s="5" t="s">
        <v>10</v>
      </c>
    </row>
    <row r="964" spans="1:6" ht="29">
      <c r="A964" s="1" t="s">
        <v>2892</v>
      </c>
      <c r="B964" s="4" t="s">
        <v>2893</v>
      </c>
      <c r="C964" s="3" t="s">
        <v>2894</v>
      </c>
      <c r="D964" s="5" t="s">
        <v>8</v>
      </c>
      <c r="E964" s="6">
        <f>VALUE(207)</f>
        <v>207</v>
      </c>
      <c r="F964" s="5" t="s">
        <v>10</v>
      </c>
    </row>
    <row r="965" spans="1:6" ht="29">
      <c r="A965" s="1" t="s">
        <v>2895</v>
      </c>
      <c r="B965" s="4" t="s">
        <v>2896</v>
      </c>
      <c r="C965" s="3" t="s">
        <v>2897</v>
      </c>
      <c r="D965" s="5" t="s">
        <v>8</v>
      </c>
      <c r="E965" s="6">
        <f>VALUE(289.5)</f>
        <v>289.5</v>
      </c>
      <c r="F965" s="5" t="s">
        <v>10</v>
      </c>
    </row>
    <row r="966" spans="1:6" ht="29">
      <c r="A966" s="1" t="s">
        <v>2898</v>
      </c>
      <c r="B966" s="4" t="s">
        <v>2899</v>
      </c>
      <c r="C966" s="3" t="s">
        <v>2900</v>
      </c>
      <c r="D966" s="5" t="s">
        <v>8</v>
      </c>
      <c r="E966" s="6">
        <f>VALUE(24.75)</f>
        <v>24.75</v>
      </c>
      <c r="F966" s="5" t="s">
        <v>10</v>
      </c>
    </row>
    <row r="967" spans="1:6" ht="29">
      <c r="A967" s="1" t="s">
        <v>2901</v>
      </c>
      <c r="B967" s="4" t="s">
        <v>2902</v>
      </c>
      <c r="C967" s="3" t="s">
        <v>2903</v>
      </c>
      <c r="D967" s="5" t="s">
        <v>8</v>
      </c>
      <c r="E967" s="6">
        <f>VALUE(29.75)</f>
        <v>29.75</v>
      </c>
      <c r="F967" s="5" t="s">
        <v>10</v>
      </c>
    </row>
    <row r="968" spans="1:6" ht="29">
      <c r="A968" s="1" t="s">
        <v>2904</v>
      </c>
      <c r="B968" s="4" t="s">
        <v>2905</v>
      </c>
      <c r="C968" s="3" t="s">
        <v>2906</v>
      </c>
      <c r="D968" s="5" t="s">
        <v>8</v>
      </c>
      <c r="E968" s="6">
        <f>VALUE(24.75)</f>
        <v>24.75</v>
      </c>
      <c r="F968" s="5" t="s">
        <v>10</v>
      </c>
    </row>
    <row r="969" spans="1:6" ht="29">
      <c r="A969" s="1" t="s">
        <v>2907</v>
      </c>
      <c r="B969" s="4" t="s">
        <v>2908</v>
      </c>
      <c r="C969" s="3" t="s">
        <v>2909</v>
      </c>
      <c r="D969" s="5" t="s">
        <v>8</v>
      </c>
      <c r="E969" s="6">
        <f>VALUE(29.75)</f>
        <v>29.75</v>
      </c>
      <c r="F969" s="5" t="s">
        <v>10</v>
      </c>
    </row>
    <row r="970" spans="1:6" ht="29">
      <c r="A970" s="1" t="s">
        <v>2910</v>
      </c>
      <c r="B970" s="4" t="s">
        <v>2911</v>
      </c>
      <c r="C970" s="3" t="s">
        <v>2912</v>
      </c>
      <c r="D970" s="5" t="s">
        <v>8</v>
      </c>
      <c r="E970" s="6">
        <f>VALUE(54.75)</f>
        <v>54.75</v>
      </c>
      <c r="F970" s="5" t="s">
        <v>10</v>
      </c>
    </row>
    <row r="971" spans="1:6" ht="29">
      <c r="A971" s="1" t="s">
        <v>2913</v>
      </c>
      <c r="B971" s="4" t="s">
        <v>2914</v>
      </c>
      <c r="C971" s="3" t="s">
        <v>2915</v>
      </c>
      <c r="D971" s="5" t="s">
        <v>8</v>
      </c>
      <c r="E971" s="6">
        <f>VALUE(69.75)</f>
        <v>69.75</v>
      </c>
      <c r="F971" s="5" t="s">
        <v>10</v>
      </c>
    </row>
    <row r="972" spans="1:6" ht="29">
      <c r="A972" s="1" t="s">
        <v>2916</v>
      </c>
      <c r="B972" s="4" t="s">
        <v>2917</v>
      </c>
      <c r="C972" s="3" t="s">
        <v>2918</v>
      </c>
      <c r="D972" s="5" t="s">
        <v>8</v>
      </c>
      <c r="E972" s="6">
        <f>VALUE(110)</f>
        <v>110</v>
      </c>
      <c r="F972" s="5" t="s">
        <v>10</v>
      </c>
    </row>
    <row r="973" spans="1:6" ht="29">
      <c r="A973" s="1" t="s">
        <v>2919</v>
      </c>
      <c r="B973" s="4" t="s">
        <v>2920</v>
      </c>
      <c r="C973" s="3" t="s">
        <v>2921</v>
      </c>
      <c r="D973" s="5" t="s">
        <v>8</v>
      </c>
      <c r="E973" s="6">
        <f>VALUE(160)</f>
        <v>160</v>
      </c>
      <c r="F973" s="5" t="s">
        <v>10</v>
      </c>
    </row>
    <row r="974" spans="1:6" ht="29">
      <c r="A974" s="1" t="s">
        <v>2922</v>
      </c>
      <c r="B974" s="4" t="s">
        <v>2923</v>
      </c>
      <c r="C974" s="3" t="s">
        <v>2924</v>
      </c>
      <c r="D974" s="5" t="s">
        <v>8</v>
      </c>
      <c r="E974" s="6">
        <f>VALUE(29.75)</f>
        <v>29.75</v>
      </c>
      <c r="F974" s="5" t="s">
        <v>10</v>
      </c>
    </row>
    <row r="975" spans="1:6" ht="29">
      <c r="A975" s="1" t="s">
        <v>2925</v>
      </c>
      <c r="B975" s="4" t="s">
        <v>2926</v>
      </c>
      <c r="C975" s="3" t="s">
        <v>2927</v>
      </c>
      <c r="D975" s="5" t="s">
        <v>8</v>
      </c>
      <c r="E975" s="6">
        <f>VALUE(39.75)</f>
        <v>39.75</v>
      </c>
      <c r="F975" s="5" t="s">
        <v>10</v>
      </c>
    </row>
    <row r="976" spans="1:6" ht="29">
      <c r="A976" s="1" t="s">
        <v>2928</v>
      </c>
      <c r="B976" s="4" t="s">
        <v>2929</v>
      </c>
      <c r="C976" s="3" t="s">
        <v>2930</v>
      </c>
      <c r="D976" s="5" t="s">
        <v>8</v>
      </c>
      <c r="E976" s="6">
        <f>VALUE(174.75)</f>
        <v>174.75</v>
      </c>
      <c r="F976" s="5" t="s">
        <v>10</v>
      </c>
    </row>
    <row r="977" spans="1:6" ht="29">
      <c r="A977" s="1" t="s">
        <v>2931</v>
      </c>
      <c r="B977" s="4" t="s">
        <v>2932</v>
      </c>
      <c r="C977" s="3" t="s">
        <v>2933</v>
      </c>
      <c r="D977" s="5" t="s">
        <v>8</v>
      </c>
      <c r="E977" s="6">
        <f>VALUE(149.75)</f>
        <v>149.75</v>
      </c>
      <c r="F977" s="5" t="s">
        <v>10</v>
      </c>
    </row>
    <row r="978" spans="1:6" ht="29">
      <c r="A978" s="1" t="s">
        <v>2934</v>
      </c>
      <c r="B978" s="4" t="s">
        <v>2935</v>
      </c>
      <c r="C978" s="3" t="s">
        <v>2936</v>
      </c>
      <c r="D978" s="5" t="s">
        <v>8</v>
      </c>
      <c r="E978" s="6">
        <f>VALUE(149.75)</f>
        <v>149.75</v>
      </c>
      <c r="F978" s="5" t="s">
        <v>10</v>
      </c>
    </row>
    <row r="979" spans="1:6" ht="29">
      <c r="A979" s="1" t="s">
        <v>2937</v>
      </c>
      <c r="B979" s="4" t="s">
        <v>2938</v>
      </c>
      <c r="C979" s="3" t="s">
        <v>2939</v>
      </c>
      <c r="D979" s="5" t="s">
        <v>8</v>
      </c>
      <c r="E979" s="6">
        <f>VALUE(149.75)</f>
        <v>149.75</v>
      </c>
      <c r="F979" s="5" t="s">
        <v>10</v>
      </c>
    </row>
    <row r="980" spans="1:6" ht="29">
      <c r="A980" s="1" t="s">
        <v>2940</v>
      </c>
      <c r="B980" s="4" t="s">
        <v>2941</v>
      </c>
      <c r="C980" s="3" t="s">
        <v>2942</v>
      </c>
      <c r="D980" s="5" t="s">
        <v>8</v>
      </c>
      <c r="E980" s="6">
        <f>VALUE(0.85)</f>
        <v>0.85</v>
      </c>
      <c r="F980" s="5" t="s">
        <v>10</v>
      </c>
    </row>
    <row r="981" spans="1:6" ht="29">
      <c r="A981" s="1" t="s">
        <v>2943</v>
      </c>
      <c r="B981" s="4" t="s">
        <v>2944</v>
      </c>
      <c r="C981" s="3" t="s">
        <v>2945</v>
      </c>
      <c r="D981" s="5" t="s">
        <v>8</v>
      </c>
      <c r="E981" s="6">
        <f>VALUE(0.85)</f>
        <v>0.85</v>
      </c>
      <c r="F981" s="5" t="s">
        <v>10</v>
      </c>
    </row>
    <row r="982" spans="1:6" ht="29">
      <c r="A982" s="1" t="s">
        <v>2946</v>
      </c>
      <c r="B982" s="4" t="s">
        <v>2947</v>
      </c>
      <c r="C982" s="3" t="s">
        <v>2948</v>
      </c>
      <c r="D982" s="5" t="s">
        <v>8</v>
      </c>
      <c r="E982" s="6">
        <f>VALUE(0.85)</f>
        <v>0.85</v>
      </c>
      <c r="F982" s="5" t="s">
        <v>10</v>
      </c>
    </row>
    <row r="983" spans="1:6" ht="29">
      <c r="A983" s="1" t="s">
        <v>2949</v>
      </c>
      <c r="B983" s="4" t="s">
        <v>2950</v>
      </c>
      <c r="C983" s="3" t="s">
        <v>2951</v>
      </c>
      <c r="D983" s="5" t="s">
        <v>8</v>
      </c>
      <c r="E983" s="6">
        <f>VALUE(0.85)</f>
        <v>0.85</v>
      </c>
      <c r="F983" s="5" t="s">
        <v>10</v>
      </c>
    </row>
    <row r="984" spans="1:6" ht="29">
      <c r="A984" s="1" t="s">
        <v>2952</v>
      </c>
      <c r="B984" s="4" t="s">
        <v>2953</v>
      </c>
      <c r="C984" s="3" t="s">
        <v>2954</v>
      </c>
      <c r="D984" s="5" t="s">
        <v>8</v>
      </c>
      <c r="E984" s="6">
        <f>VALUE(0.75)</f>
        <v>0.75</v>
      </c>
      <c r="F984" s="5" t="s">
        <v>10</v>
      </c>
    </row>
    <row r="985" spans="1:6">
      <c r="A985" s="1" t="s">
        <v>2955</v>
      </c>
      <c r="B985" s="4" t="s">
        <v>2956</v>
      </c>
      <c r="C985" s="3" t="s">
        <v>2957</v>
      </c>
      <c r="D985" s="5" t="s">
        <v>8</v>
      </c>
      <c r="E985" s="6">
        <f>VALUE(0.75)</f>
        <v>0.75</v>
      </c>
      <c r="F985" s="5" t="s">
        <v>10</v>
      </c>
    </row>
    <row r="986" spans="1:6">
      <c r="A986" s="1" t="s">
        <v>2958</v>
      </c>
      <c r="B986" s="4" t="s">
        <v>2959</v>
      </c>
      <c r="C986" s="3" t="s">
        <v>2960</v>
      </c>
      <c r="D986" s="5" t="s">
        <v>8</v>
      </c>
      <c r="E986" s="6">
        <f>VALUE(0.75)</f>
        <v>0.75</v>
      </c>
      <c r="F986" s="5" t="s">
        <v>10</v>
      </c>
    </row>
    <row r="987" spans="1:6">
      <c r="A987" s="1" t="s">
        <v>2961</v>
      </c>
      <c r="B987" s="4" t="s">
        <v>2962</v>
      </c>
      <c r="C987" s="3" t="s">
        <v>2963</v>
      </c>
      <c r="D987" s="5" t="s">
        <v>8</v>
      </c>
      <c r="E987" s="6">
        <f>VALUE(0.75)</f>
        <v>0.75</v>
      </c>
      <c r="F987" s="5" t="s">
        <v>10</v>
      </c>
    </row>
    <row r="988" spans="1:6">
      <c r="A988" s="1" t="s">
        <v>2964</v>
      </c>
      <c r="B988" s="4" t="s">
        <v>2965</v>
      </c>
      <c r="C988" s="3" t="s">
        <v>2966</v>
      </c>
      <c r="D988" s="5" t="s">
        <v>8</v>
      </c>
      <c r="E988" s="6">
        <f>VALUE(0.75)</f>
        <v>0.75</v>
      </c>
      <c r="F988" s="5" t="s">
        <v>10</v>
      </c>
    </row>
    <row r="989" spans="1:6">
      <c r="A989" s="1" t="s">
        <v>2967</v>
      </c>
      <c r="B989" s="4" t="s">
        <v>2968</v>
      </c>
      <c r="C989" s="3" t="s">
        <v>2969</v>
      </c>
      <c r="D989" s="5" t="s">
        <v>8</v>
      </c>
      <c r="E989" s="6">
        <f>VALUE(149.75)</f>
        <v>149.75</v>
      </c>
      <c r="F989" s="5" t="s">
        <v>10</v>
      </c>
    </row>
    <row r="990" spans="1:6">
      <c r="A990" s="1" t="s">
        <v>2970</v>
      </c>
      <c r="B990" s="4" t="s">
        <v>2971</v>
      </c>
      <c r="C990" s="3" t="s">
        <v>2972</v>
      </c>
      <c r="D990" s="5" t="s">
        <v>8</v>
      </c>
      <c r="E990" s="6">
        <f>VALUE(824.75)</f>
        <v>824.75</v>
      </c>
      <c r="F990" s="5" t="s">
        <v>10</v>
      </c>
    </row>
    <row r="991" spans="1:6" ht="29">
      <c r="A991" s="1" t="s">
        <v>2973</v>
      </c>
      <c r="B991" s="4" t="s">
        <v>2974</v>
      </c>
      <c r="C991" s="3" t="s">
        <v>2975</v>
      </c>
      <c r="D991" s="5" t="s">
        <v>8</v>
      </c>
      <c r="E991" s="6">
        <f>VALUE(3.4)</f>
        <v>3.4</v>
      </c>
      <c r="F991" s="5" t="s">
        <v>10</v>
      </c>
    </row>
    <row r="992" spans="1:6" ht="29">
      <c r="A992" s="1" t="s">
        <v>2976</v>
      </c>
      <c r="B992" s="4" t="s">
        <v>2977</v>
      </c>
      <c r="C992" s="3" t="s">
        <v>2978</v>
      </c>
      <c r="D992" s="5" t="s">
        <v>8</v>
      </c>
      <c r="E992" s="6">
        <f>VALUE(4.25)</f>
        <v>4.25</v>
      </c>
      <c r="F992" s="5" t="s">
        <v>10</v>
      </c>
    </row>
    <row r="993" spans="1:6" ht="29">
      <c r="A993" s="1" t="s">
        <v>2979</v>
      </c>
      <c r="B993" s="4" t="s">
        <v>2980</v>
      </c>
      <c r="C993" s="3" t="s">
        <v>2981</v>
      </c>
      <c r="D993" s="5" t="s">
        <v>8</v>
      </c>
      <c r="E993" s="6">
        <f>VALUE(28)</f>
        <v>28</v>
      </c>
      <c r="F993" s="5" t="s">
        <v>10</v>
      </c>
    </row>
    <row r="994" spans="1:6" ht="29">
      <c r="A994" s="1" t="s">
        <v>2982</v>
      </c>
      <c r="B994" s="4" t="s">
        <v>2983</v>
      </c>
      <c r="C994" s="3" t="s">
        <v>2984</v>
      </c>
      <c r="D994" s="5" t="s">
        <v>8</v>
      </c>
      <c r="E994" s="6">
        <f>VALUE(12)</f>
        <v>12</v>
      </c>
      <c r="F994" s="5" t="s">
        <v>10</v>
      </c>
    </row>
    <row r="995" spans="1:6" ht="29">
      <c r="A995" s="1" t="s">
        <v>2985</v>
      </c>
      <c r="B995" s="4" t="s">
        <v>2986</v>
      </c>
      <c r="C995" s="3" t="s">
        <v>2987</v>
      </c>
      <c r="D995" s="5" t="s">
        <v>8</v>
      </c>
      <c r="E995" s="6">
        <f>VALUE(20000)</f>
        <v>20000</v>
      </c>
      <c r="F995" s="5" t="s">
        <v>10</v>
      </c>
    </row>
    <row r="996" spans="1:6" ht="29">
      <c r="A996" s="1" t="s">
        <v>2988</v>
      </c>
      <c r="B996" s="4" t="s">
        <v>2989</v>
      </c>
      <c r="C996" s="3" t="s">
        <v>2990</v>
      </c>
      <c r="D996" s="5" t="s">
        <v>8</v>
      </c>
      <c r="E996" s="6">
        <f>VALUE(9.75)</f>
        <v>9.75</v>
      </c>
      <c r="F996" s="5" t="s">
        <v>10</v>
      </c>
    </row>
    <row r="997" spans="1:6">
      <c r="A997" s="1" t="s">
        <v>2991</v>
      </c>
      <c r="B997" s="4" t="s">
        <v>2992</v>
      </c>
      <c r="C997" s="3" t="s">
        <v>2993</v>
      </c>
      <c r="D997" s="5" t="s">
        <v>8</v>
      </c>
      <c r="E997" s="6">
        <f>VALUE(9.75)</f>
        <v>9.75</v>
      </c>
      <c r="F997" s="5" t="s">
        <v>10</v>
      </c>
    </row>
    <row r="998" spans="1:6">
      <c r="A998" s="1" t="s">
        <v>2994</v>
      </c>
      <c r="B998" s="4" t="s">
        <v>2995</v>
      </c>
      <c r="C998" s="3" t="s">
        <v>2996</v>
      </c>
      <c r="D998" s="5" t="s">
        <v>8</v>
      </c>
      <c r="E998" s="6">
        <f>VALUE(12.25)</f>
        <v>12.25</v>
      </c>
      <c r="F998" s="5" t="s">
        <v>10</v>
      </c>
    </row>
    <row r="999" spans="1:6" ht="29">
      <c r="A999" s="1" t="s">
        <v>2997</v>
      </c>
      <c r="B999" s="4" t="s">
        <v>2998</v>
      </c>
      <c r="C999" s="3" t="s">
        <v>2999</v>
      </c>
      <c r="D999" s="5" t="s">
        <v>8</v>
      </c>
      <c r="E999" s="6">
        <f>VALUE(24.75)</f>
        <v>24.75</v>
      </c>
      <c r="F999" s="5" t="s">
        <v>10</v>
      </c>
    </row>
    <row r="1000" spans="1:6" ht="29">
      <c r="A1000" s="1" t="s">
        <v>3000</v>
      </c>
      <c r="B1000" s="4" t="s">
        <v>3001</v>
      </c>
      <c r="C1000" s="3" t="s">
        <v>3002</v>
      </c>
      <c r="D1000" s="5" t="s">
        <v>8</v>
      </c>
      <c r="E1000" s="6">
        <f>VALUE(39.75)</f>
        <v>39.75</v>
      </c>
      <c r="F1000" s="5" t="s">
        <v>10</v>
      </c>
    </row>
    <row r="1001" spans="1:6" ht="29">
      <c r="A1001" s="1" t="s">
        <v>3003</v>
      </c>
      <c r="B1001" s="4" t="s">
        <v>3004</v>
      </c>
      <c r="C1001" s="3" t="s">
        <v>3005</v>
      </c>
      <c r="D1001" s="5" t="s">
        <v>8</v>
      </c>
      <c r="E1001" s="6">
        <f>VALUE(62.25)</f>
        <v>62.25</v>
      </c>
      <c r="F1001" s="5" t="s">
        <v>10</v>
      </c>
    </row>
    <row r="1002" spans="1:6" ht="29">
      <c r="A1002" s="1" t="s">
        <v>3006</v>
      </c>
      <c r="B1002" s="4" t="s">
        <v>3007</v>
      </c>
      <c r="C1002" s="3" t="s">
        <v>3008</v>
      </c>
      <c r="D1002" s="5" t="s">
        <v>8</v>
      </c>
      <c r="E1002" s="6">
        <f>VALUE(162.5)</f>
        <v>162.5</v>
      </c>
      <c r="F1002" s="5" t="s">
        <v>10</v>
      </c>
    </row>
    <row r="1003" spans="1:6" ht="29">
      <c r="A1003" s="1" t="s">
        <v>3009</v>
      </c>
      <c r="B1003" s="4" t="s">
        <v>3010</v>
      </c>
      <c r="C1003" s="3" t="s">
        <v>3011</v>
      </c>
      <c r="D1003" s="5" t="s">
        <v>8</v>
      </c>
      <c r="E1003" s="6">
        <f>VALUE(62.25)</f>
        <v>62.25</v>
      </c>
      <c r="F1003" s="5" t="s">
        <v>10</v>
      </c>
    </row>
    <row r="1004" spans="1:6" ht="29">
      <c r="A1004" s="1" t="s">
        <v>3012</v>
      </c>
      <c r="B1004" s="4" t="s">
        <v>3013</v>
      </c>
      <c r="C1004" s="3" t="s">
        <v>3014</v>
      </c>
      <c r="D1004" s="5" t="s">
        <v>8</v>
      </c>
      <c r="E1004" s="6">
        <f>VALUE(749.75)</f>
        <v>749.75</v>
      </c>
      <c r="F1004" s="5" t="s">
        <v>10</v>
      </c>
    </row>
    <row r="1005" spans="1:6" ht="43.5">
      <c r="A1005" s="1" t="s">
        <v>3015</v>
      </c>
      <c r="B1005" s="4" t="s">
        <v>3016</v>
      </c>
      <c r="C1005" s="3" t="s">
        <v>3017</v>
      </c>
      <c r="D1005" s="5" t="s">
        <v>8</v>
      </c>
      <c r="E1005" s="6">
        <f>VALUE(299.75)</f>
        <v>299.75</v>
      </c>
      <c r="F1005" s="5" t="s">
        <v>10</v>
      </c>
    </row>
    <row r="1006" spans="1:6" ht="29">
      <c r="A1006" s="1" t="s">
        <v>3018</v>
      </c>
      <c r="B1006" s="4" t="s">
        <v>3019</v>
      </c>
      <c r="C1006" s="3" t="s">
        <v>3020</v>
      </c>
      <c r="D1006" s="5" t="s">
        <v>8</v>
      </c>
      <c r="E1006" s="6">
        <f>VALUE(399.75)</f>
        <v>399.75</v>
      </c>
      <c r="F1006" s="5" t="s">
        <v>10</v>
      </c>
    </row>
    <row r="1007" spans="1:6" ht="29">
      <c r="A1007" s="1" t="s">
        <v>3021</v>
      </c>
      <c r="B1007" s="4" t="s">
        <v>3022</v>
      </c>
      <c r="C1007" s="3" t="s">
        <v>3023</v>
      </c>
      <c r="D1007" s="5" t="s">
        <v>8</v>
      </c>
      <c r="E1007" s="6">
        <f>VALUE(249.75)</f>
        <v>249.75</v>
      </c>
      <c r="F1007" s="5" t="s">
        <v>10</v>
      </c>
    </row>
    <row r="1008" spans="1:6" ht="29">
      <c r="A1008" s="1" t="s">
        <v>3024</v>
      </c>
      <c r="B1008" s="4" t="s">
        <v>3025</v>
      </c>
      <c r="C1008" s="3" t="s">
        <v>3026</v>
      </c>
      <c r="D1008" s="5" t="s">
        <v>8</v>
      </c>
      <c r="E1008" s="6">
        <f>VALUE(249.75)</f>
        <v>249.75</v>
      </c>
      <c r="F1008" s="5" t="s">
        <v>10</v>
      </c>
    </row>
    <row r="1009" spans="1:6" ht="29">
      <c r="A1009" s="1" t="s">
        <v>3027</v>
      </c>
      <c r="B1009" s="4" t="s">
        <v>3028</v>
      </c>
      <c r="C1009" s="3" t="s">
        <v>3029</v>
      </c>
      <c r="D1009" s="5" t="s">
        <v>8</v>
      </c>
      <c r="E1009" s="6">
        <f>VALUE(499.75)</f>
        <v>499.75</v>
      </c>
      <c r="F1009" s="5" t="s">
        <v>10</v>
      </c>
    </row>
    <row r="1010" spans="1:6" ht="29">
      <c r="A1010" s="1" t="s">
        <v>3030</v>
      </c>
      <c r="B1010" s="4" t="s">
        <v>3031</v>
      </c>
      <c r="C1010" s="3" t="s">
        <v>3032</v>
      </c>
      <c r="D1010" s="5" t="s">
        <v>8</v>
      </c>
      <c r="E1010" s="6">
        <f>VALUE(999.75)</f>
        <v>999.75</v>
      </c>
      <c r="F1010" s="5" t="s">
        <v>10</v>
      </c>
    </row>
    <row r="1011" spans="1:6" ht="29">
      <c r="A1011" s="1" t="s">
        <v>3033</v>
      </c>
      <c r="B1011" s="4" t="s">
        <v>3034</v>
      </c>
      <c r="C1011" s="3" t="s">
        <v>3035</v>
      </c>
      <c r="D1011" s="5" t="s">
        <v>8</v>
      </c>
      <c r="E1011" s="6">
        <f>VALUE(249.75)</f>
        <v>249.75</v>
      </c>
      <c r="F1011" s="5" t="s">
        <v>10</v>
      </c>
    </row>
    <row r="1012" spans="1:6" ht="29">
      <c r="A1012" s="1" t="s">
        <v>3036</v>
      </c>
      <c r="B1012" s="4" t="s">
        <v>3037</v>
      </c>
      <c r="C1012" s="3" t="s">
        <v>3038</v>
      </c>
      <c r="D1012" s="5" t="s">
        <v>8</v>
      </c>
      <c r="E1012" s="6">
        <f>VALUE(299.75)</f>
        <v>299.75</v>
      </c>
      <c r="F1012" s="5" t="s">
        <v>10</v>
      </c>
    </row>
    <row r="1013" spans="1:6" ht="29">
      <c r="A1013" s="1" t="s">
        <v>3039</v>
      </c>
      <c r="B1013" s="4" t="s">
        <v>3040</v>
      </c>
      <c r="C1013" s="3" t="s">
        <v>3041</v>
      </c>
      <c r="D1013" s="5" t="s">
        <v>8</v>
      </c>
      <c r="E1013" s="6">
        <f>VALUE(199.75)</f>
        <v>199.75</v>
      </c>
      <c r="F1013" s="5" t="s">
        <v>10</v>
      </c>
    </row>
    <row r="1014" spans="1:6" ht="29">
      <c r="A1014" s="1" t="s">
        <v>3042</v>
      </c>
      <c r="B1014" s="4" t="s">
        <v>3043</v>
      </c>
      <c r="C1014" s="3" t="s">
        <v>3044</v>
      </c>
      <c r="D1014" s="5" t="s">
        <v>8</v>
      </c>
      <c r="E1014" s="6">
        <f>VALUE(249.75)</f>
        <v>249.75</v>
      </c>
      <c r="F1014" s="5" t="s">
        <v>10</v>
      </c>
    </row>
    <row r="1015" spans="1:6" ht="29">
      <c r="A1015" s="1" t="s">
        <v>3045</v>
      </c>
      <c r="B1015" s="4" t="s">
        <v>3046</v>
      </c>
      <c r="C1015" s="3" t="s">
        <v>3047</v>
      </c>
      <c r="D1015" s="5" t="s">
        <v>8</v>
      </c>
      <c r="E1015" s="6">
        <f>VALUE(149.75)</f>
        <v>149.75</v>
      </c>
      <c r="F1015" s="5" t="s">
        <v>10</v>
      </c>
    </row>
    <row r="1016" spans="1:6" ht="29">
      <c r="A1016" s="1" t="s">
        <v>3048</v>
      </c>
      <c r="B1016" s="4" t="s">
        <v>3049</v>
      </c>
      <c r="C1016" s="3" t="s">
        <v>3050</v>
      </c>
      <c r="D1016" s="5" t="s">
        <v>8</v>
      </c>
      <c r="E1016" s="6">
        <f>VALUE(99.75)</f>
        <v>99.75</v>
      </c>
      <c r="F1016" s="5" t="s">
        <v>10</v>
      </c>
    </row>
    <row r="1017" spans="1:6" ht="29">
      <c r="A1017" s="1" t="s">
        <v>3051</v>
      </c>
      <c r="B1017" s="4" t="s">
        <v>3052</v>
      </c>
      <c r="C1017" s="3" t="s">
        <v>3053</v>
      </c>
      <c r="D1017" s="5" t="s">
        <v>8</v>
      </c>
      <c r="E1017" s="6">
        <f>VALUE(749.75)</f>
        <v>749.75</v>
      </c>
      <c r="F1017" s="5" t="s">
        <v>10</v>
      </c>
    </row>
    <row r="1018" spans="1:6" ht="29">
      <c r="A1018" s="1" t="s">
        <v>3054</v>
      </c>
      <c r="B1018" s="4" t="s">
        <v>3055</v>
      </c>
      <c r="C1018" s="3" t="s">
        <v>3056</v>
      </c>
      <c r="D1018" s="5" t="s">
        <v>8</v>
      </c>
      <c r="E1018" s="6">
        <f>VALUE(249.75)</f>
        <v>249.75</v>
      </c>
      <c r="F1018" s="5" t="s">
        <v>10</v>
      </c>
    </row>
    <row r="1019" spans="1:6" ht="29">
      <c r="A1019" s="1" t="s">
        <v>3057</v>
      </c>
      <c r="B1019" s="4" t="s">
        <v>3058</v>
      </c>
      <c r="C1019" s="3" t="s">
        <v>3059</v>
      </c>
      <c r="D1019" s="5" t="s">
        <v>8</v>
      </c>
      <c r="E1019" s="6">
        <f>VALUE(749.75)</f>
        <v>749.75</v>
      </c>
      <c r="F1019" s="5" t="s">
        <v>10</v>
      </c>
    </row>
    <row r="1020" spans="1:6" ht="29">
      <c r="A1020" s="1" t="s">
        <v>3060</v>
      </c>
      <c r="B1020" s="4" t="s">
        <v>3061</v>
      </c>
      <c r="C1020" s="3" t="s">
        <v>3062</v>
      </c>
      <c r="D1020" s="5" t="s">
        <v>8</v>
      </c>
      <c r="E1020" s="6">
        <f>VALUE(999.75)</f>
        <v>999.75</v>
      </c>
      <c r="F1020" s="5" t="s">
        <v>10</v>
      </c>
    </row>
    <row r="1021" spans="1:6" ht="43.5">
      <c r="A1021" s="1" t="s">
        <v>3063</v>
      </c>
      <c r="B1021" s="4" t="s">
        <v>3064</v>
      </c>
      <c r="C1021" s="3" t="s">
        <v>3065</v>
      </c>
      <c r="D1021" s="5" t="s">
        <v>8</v>
      </c>
      <c r="E1021" s="6">
        <f>VALUE(999.75)</f>
        <v>999.75</v>
      </c>
      <c r="F1021" s="5" t="s">
        <v>10</v>
      </c>
    </row>
    <row r="1022" spans="1:6" ht="43.5">
      <c r="A1022" s="1" t="s">
        <v>3066</v>
      </c>
      <c r="B1022" s="4" t="s">
        <v>3067</v>
      </c>
      <c r="C1022" s="3" t="s">
        <v>3068</v>
      </c>
      <c r="D1022" s="5" t="s">
        <v>8</v>
      </c>
      <c r="E1022" s="6">
        <f>VALUE(1499.75)</f>
        <v>1499.75</v>
      </c>
      <c r="F1022" s="5" t="s">
        <v>10</v>
      </c>
    </row>
    <row r="1023" spans="1:6" ht="43.5">
      <c r="A1023" s="1" t="s">
        <v>3069</v>
      </c>
      <c r="B1023" s="4" t="s">
        <v>3070</v>
      </c>
      <c r="C1023" s="3" t="s">
        <v>3071</v>
      </c>
      <c r="D1023" s="5" t="s">
        <v>8</v>
      </c>
      <c r="E1023" s="6">
        <f>VALUE(1999.75)</f>
        <v>1999.75</v>
      </c>
      <c r="F1023" s="5" t="s">
        <v>10</v>
      </c>
    </row>
    <row r="1024" spans="1:6" ht="29">
      <c r="A1024" s="1" t="s">
        <v>3072</v>
      </c>
      <c r="B1024" s="4" t="s">
        <v>3073</v>
      </c>
      <c r="C1024" s="3" t="s">
        <v>3074</v>
      </c>
      <c r="D1024" s="5" t="s">
        <v>8</v>
      </c>
      <c r="E1024" s="6">
        <f>VALUE(299.75)</f>
        <v>299.75</v>
      </c>
      <c r="F1024" s="5" t="s">
        <v>10</v>
      </c>
    </row>
    <row r="1025" spans="1:6" ht="29">
      <c r="A1025" s="1" t="s">
        <v>3075</v>
      </c>
      <c r="B1025" s="4" t="s">
        <v>3076</v>
      </c>
      <c r="C1025" s="3" t="s">
        <v>3077</v>
      </c>
      <c r="D1025" s="5" t="s">
        <v>8</v>
      </c>
      <c r="E1025" s="6">
        <f>VALUE(749.75)</f>
        <v>749.75</v>
      </c>
      <c r="F1025" s="5" t="s">
        <v>10</v>
      </c>
    </row>
    <row r="1026" spans="1:6" ht="43.5">
      <c r="A1026" s="1" t="s">
        <v>3078</v>
      </c>
      <c r="B1026" s="4" t="s">
        <v>3079</v>
      </c>
      <c r="C1026" s="3" t="s">
        <v>3080</v>
      </c>
      <c r="D1026" s="5" t="s">
        <v>8</v>
      </c>
      <c r="E1026" s="6">
        <f>VALUE(1200)</f>
        <v>1200</v>
      </c>
      <c r="F1026" s="5" t="s">
        <v>10</v>
      </c>
    </row>
    <row r="1027" spans="1:6" ht="29">
      <c r="A1027" s="1" t="s">
        <v>3081</v>
      </c>
      <c r="B1027" s="4" t="s">
        <v>3082</v>
      </c>
      <c r="C1027" s="3" t="s">
        <v>3083</v>
      </c>
      <c r="D1027" s="5" t="s">
        <v>8</v>
      </c>
      <c r="E1027" s="6">
        <f>VALUE(899.75)</f>
        <v>899.75</v>
      </c>
      <c r="F1027" s="5" t="s">
        <v>10</v>
      </c>
    </row>
    <row r="1028" spans="1:6" ht="43.5">
      <c r="A1028" s="1" t="s">
        <v>3084</v>
      </c>
      <c r="B1028" s="4" t="s">
        <v>3085</v>
      </c>
      <c r="C1028" s="3" t="s">
        <v>3086</v>
      </c>
      <c r="D1028" s="5" t="s">
        <v>8</v>
      </c>
      <c r="E1028" s="6">
        <f>VALUE(1449.75)</f>
        <v>1449.75</v>
      </c>
      <c r="F1028" s="5" t="s">
        <v>10</v>
      </c>
    </row>
    <row r="1029" spans="1:6" ht="29">
      <c r="A1029" s="1" t="s">
        <v>3087</v>
      </c>
      <c r="B1029" s="4" t="s">
        <v>3088</v>
      </c>
      <c r="C1029" s="3" t="s">
        <v>3089</v>
      </c>
      <c r="D1029" s="5" t="s">
        <v>8</v>
      </c>
      <c r="E1029" s="6">
        <f>VALUE(749.75)</f>
        <v>749.75</v>
      </c>
      <c r="F1029" s="5" t="s">
        <v>10</v>
      </c>
    </row>
    <row r="1030" spans="1:6" ht="29">
      <c r="A1030" s="1" t="s">
        <v>3090</v>
      </c>
      <c r="B1030" s="4" t="s">
        <v>3091</v>
      </c>
      <c r="C1030" s="3" t="s">
        <v>3092</v>
      </c>
      <c r="D1030" s="5" t="s">
        <v>8</v>
      </c>
      <c r="E1030" s="6">
        <f>VALUE(349.75)</f>
        <v>349.75</v>
      </c>
      <c r="F1030" s="5" t="s">
        <v>10</v>
      </c>
    </row>
    <row r="1031" spans="1:6" ht="29">
      <c r="A1031" s="1" t="s">
        <v>3093</v>
      </c>
      <c r="B1031" s="4" t="s">
        <v>3094</v>
      </c>
      <c r="C1031" s="3" t="s">
        <v>3095</v>
      </c>
      <c r="D1031" s="5" t="s">
        <v>8</v>
      </c>
      <c r="E1031" s="6">
        <f>VALUE(749.75)</f>
        <v>749.75</v>
      </c>
      <c r="F1031" s="5" t="s">
        <v>10</v>
      </c>
    </row>
    <row r="1032" spans="1:6" ht="29">
      <c r="A1032" s="1" t="s">
        <v>3096</v>
      </c>
      <c r="B1032" s="4" t="s">
        <v>3097</v>
      </c>
      <c r="C1032" s="3" t="s">
        <v>3098</v>
      </c>
      <c r="D1032" s="5" t="s">
        <v>8</v>
      </c>
      <c r="E1032" s="6">
        <f>VALUE(1499.75)</f>
        <v>1499.75</v>
      </c>
      <c r="F1032" s="5" t="s">
        <v>10</v>
      </c>
    </row>
    <row r="1033" spans="1:6" ht="43.5">
      <c r="A1033" s="1" t="s">
        <v>3099</v>
      </c>
      <c r="B1033" s="4" t="s">
        <v>3100</v>
      </c>
      <c r="C1033" s="3" t="s">
        <v>3101</v>
      </c>
      <c r="D1033" s="5" t="s">
        <v>8</v>
      </c>
      <c r="E1033" s="6">
        <f>VALUE(999.75)</f>
        <v>999.75</v>
      </c>
      <c r="F1033" s="5" t="s">
        <v>10</v>
      </c>
    </row>
    <row r="1034" spans="1:6" ht="43.5">
      <c r="A1034" s="1" t="s">
        <v>3102</v>
      </c>
      <c r="B1034" s="4" t="s">
        <v>3103</v>
      </c>
      <c r="C1034" s="3" t="s">
        <v>3104</v>
      </c>
      <c r="D1034" s="5" t="s">
        <v>8</v>
      </c>
      <c r="E1034" s="6">
        <f>VALUE(1499.75)</f>
        <v>1499.75</v>
      </c>
      <c r="F1034" s="5" t="s">
        <v>10</v>
      </c>
    </row>
    <row r="1035" spans="1:6" ht="43.5">
      <c r="A1035" s="1" t="s">
        <v>3105</v>
      </c>
      <c r="B1035" s="4" t="s">
        <v>3106</v>
      </c>
      <c r="C1035" s="3" t="s">
        <v>3107</v>
      </c>
      <c r="D1035" s="5" t="s">
        <v>8</v>
      </c>
      <c r="E1035" s="6">
        <f>VALUE(1999.75)</f>
        <v>1999.75</v>
      </c>
      <c r="F1035" s="5" t="s">
        <v>10</v>
      </c>
    </row>
    <row r="1036" spans="1:6" ht="29">
      <c r="A1036" s="1" t="s">
        <v>3108</v>
      </c>
      <c r="B1036" s="4" t="s">
        <v>3109</v>
      </c>
      <c r="C1036" s="3" t="s">
        <v>3110</v>
      </c>
      <c r="D1036" s="5" t="s">
        <v>8</v>
      </c>
      <c r="E1036" s="6">
        <f>VALUE(449.75)</f>
        <v>449.75</v>
      </c>
      <c r="F1036" s="5" t="s">
        <v>10</v>
      </c>
    </row>
    <row r="1037" spans="1:6" ht="29">
      <c r="A1037" s="1" t="s">
        <v>3111</v>
      </c>
      <c r="B1037" s="4" t="s">
        <v>3112</v>
      </c>
      <c r="C1037" s="3" t="s">
        <v>3113</v>
      </c>
      <c r="D1037" s="5" t="s">
        <v>8</v>
      </c>
      <c r="E1037" s="6">
        <f>VALUE(749.75)</f>
        <v>749.75</v>
      </c>
      <c r="F1037" s="5" t="s">
        <v>10</v>
      </c>
    </row>
    <row r="1038" spans="1:6" ht="29">
      <c r="A1038" s="1" t="s">
        <v>3114</v>
      </c>
      <c r="B1038" s="4" t="s">
        <v>3115</v>
      </c>
      <c r="C1038" s="3" t="s">
        <v>3116</v>
      </c>
      <c r="D1038" s="5" t="s">
        <v>8</v>
      </c>
      <c r="E1038" s="6">
        <f>VALUE(899.75)</f>
        <v>899.75</v>
      </c>
      <c r="F1038" s="5" t="s">
        <v>10</v>
      </c>
    </row>
    <row r="1039" spans="1:6" ht="43.5">
      <c r="A1039" s="1" t="s">
        <v>3117</v>
      </c>
      <c r="B1039" s="4" t="s">
        <v>3118</v>
      </c>
      <c r="C1039" s="3" t="s">
        <v>3119</v>
      </c>
      <c r="D1039" s="5" t="s">
        <v>8</v>
      </c>
      <c r="E1039" s="6">
        <f>VALUE(2449.75)</f>
        <v>2449.75</v>
      </c>
      <c r="F1039" s="5" t="s">
        <v>10</v>
      </c>
    </row>
    <row r="1040" spans="1:6" ht="29">
      <c r="A1040" s="1" t="s">
        <v>3120</v>
      </c>
      <c r="B1040" s="4" t="s">
        <v>3121</v>
      </c>
      <c r="C1040" s="3" t="s">
        <v>3122</v>
      </c>
      <c r="D1040" s="5" t="s">
        <v>8</v>
      </c>
      <c r="E1040" s="6">
        <f>VALUE(249.75)</f>
        <v>249.75</v>
      </c>
      <c r="F1040" s="5" t="s">
        <v>10</v>
      </c>
    </row>
    <row r="1041" spans="1:6" ht="29">
      <c r="A1041" s="1" t="s">
        <v>3123</v>
      </c>
      <c r="B1041" s="4" t="s">
        <v>3124</v>
      </c>
      <c r="C1041" s="3" t="s">
        <v>3125</v>
      </c>
      <c r="D1041" s="5" t="s">
        <v>8</v>
      </c>
      <c r="E1041" s="6">
        <f>VALUE(199.75)</f>
        <v>199.75</v>
      </c>
      <c r="F1041" s="5" t="s">
        <v>10</v>
      </c>
    </row>
    <row r="1042" spans="1:6" ht="29">
      <c r="A1042" s="1" t="s">
        <v>3126</v>
      </c>
      <c r="B1042" s="4" t="s">
        <v>3127</v>
      </c>
      <c r="C1042" s="3" t="s">
        <v>3128</v>
      </c>
      <c r="D1042" s="5" t="s">
        <v>8</v>
      </c>
      <c r="E1042" s="6">
        <f>VALUE(199.75)</f>
        <v>199.75</v>
      </c>
      <c r="F1042" s="5" t="s">
        <v>10</v>
      </c>
    </row>
    <row r="1043" spans="1:6" ht="29">
      <c r="A1043" s="1" t="s">
        <v>3129</v>
      </c>
      <c r="B1043" s="4" t="s">
        <v>3130</v>
      </c>
      <c r="C1043" s="3" t="s">
        <v>3131</v>
      </c>
      <c r="D1043" s="5" t="s">
        <v>8</v>
      </c>
      <c r="E1043" s="6">
        <f>VALUE(199.75)</f>
        <v>199.75</v>
      </c>
      <c r="F1043" s="5" t="s">
        <v>10</v>
      </c>
    </row>
    <row r="1044" spans="1:6" ht="29">
      <c r="A1044" s="1" t="s">
        <v>3132</v>
      </c>
      <c r="B1044" s="4" t="s">
        <v>3133</v>
      </c>
      <c r="C1044" s="3" t="s">
        <v>3134</v>
      </c>
      <c r="D1044" s="5" t="s">
        <v>8</v>
      </c>
      <c r="E1044" s="6">
        <f>VALUE(199.75)</f>
        <v>199.75</v>
      </c>
      <c r="F1044" s="5" t="s">
        <v>10</v>
      </c>
    </row>
    <row r="1045" spans="1:6" ht="29">
      <c r="A1045" s="1" t="s">
        <v>3135</v>
      </c>
      <c r="B1045" s="4" t="s">
        <v>3136</v>
      </c>
      <c r="C1045" s="3" t="s">
        <v>3137</v>
      </c>
      <c r="D1045" s="5" t="s">
        <v>8</v>
      </c>
      <c r="E1045" s="6">
        <f>VALUE(399.75)</f>
        <v>399.75</v>
      </c>
      <c r="F1045" s="5" t="s">
        <v>10</v>
      </c>
    </row>
    <row r="1046" spans="1:6" ht="29">
      <c r="A1046" s="1" t="s">
        <v>3138</v>
      </c>
      <c r="B1046" s="4" t="s">
        <v>3139</v>
      </c>
      <c r="C1046" s="3" t="s">
        <v>3140</v>
      </c>
      <c r="D1046" s="5" t="s">
        <v>8</v>
      </c>
      <c r="E1046" s="6">
        <f>VALUE(199.75)</f>
        <v>199.75</v>
      </c>
      <c r="F1046" s="5" t="s">
        <v>10</v>
      </c>
    </row>
    <row r="1047" spans="1:6" ht="29">
      <c r="A1047" s="1" t="s">
        <v>3141</v>
      </c>
      <c r="B1047" s="4" t="s">
        <v>3142</v>
      </c>
      <c r="C1047" s="3" t="s">
        <v>3143</v>
      </c>
      <c r="D1047" s="5" t="s">
        <v>8</v>
      </c>
      <c r="E1047" s="6">
        <f>VALUE(9.75)</f>
        <v>9.75</v>
      </c>
      <c r="F1047" s="5" t="s">
        <v>10</v>
      </c>
    </row>
    <row r="1048" spans="1:6" ht="29">
      <c r="A1048" s="1" t="s">
        <v>3144</v>
      </c>
      <c r="B1048" s="4" t="s">
        <v>3145</v>
      </c>
      <c r="C1048" s="3" t="s">
        <v>3146</v>
      </c>
      <c r="D1048" s="5" t="s">
        <v>8</v>
      </c>
      <c r="E1048" s="6">
        <f>VALUE(24.75)</f>
        <v>24.75</v>
      </c>
      <c r="F1048" s="5" t="s">
        <v>10</v>
      </c>
    </row>
    <row r="1049" spans="1:6" ht="29">
      <c r="A1049" s="1" t="s">
        <v>3147</v>
      </c>
      <c r="B1049" s="4" t="s">
        <v>3148</v>
      </c>
      <c r="C1049" s="3" t="s">
        <v>3149</v>
      </c>
      <c r="D1049" s="5" t="s">
        <v>8</v>
      </c>
      <c r="E1049" s="6">
        <f>VALUE(29.75)</f>
        <v>29.75</v>
      </c>
      <c r="F1049" s="5" t="s">
        <v>10</v>
      </c>
    </row>
    <row r="1050" spans="1:6" ht="29">
      <c r="A1050" s="1" t="s">
        <v>3150</v>
      </c>
      <c r="B1050" s="4" t="s">
        <v>3151</v>
      </c>
      <c r="C1050" s="3" t="s">
        <v>3152</v>
      </c>
      <c r="D1050" s="5" t="s">
        <v>8</v>
      </c>
      <c r="E1050" s="6">
        <f>VALUE(12.25)</f>
        <v>12.25</v>
      </c>
      <c r="F1050" s="5" t="s">
        <v>10</v>
      </c>
    </row>
    <row r="1051" spans="1:6" ht="29">
      <c r="A1051" s="1" t="s">
        <v>3153</v>
      </c>
      <c r="B1051" s="4" t="s">
        <v>3154</v>
      </c>
      <c r="C1051" s="3" t="s">
        <v>3155</v>
      </c>
      <c r="D1051" s="5" t="s">
        <v>8</v>
      </c>
      <c r="E1051" s="6">
        <f>VALUE(12.25)</f>
        <v>12.25</v>
      </c>
      <c r="F1051" s="5" t="s">
        <v>10</v>
      </c>
    </row>
    <row r="1052" spans="1:6">
      <c r="A1052" s="1" t="s">
        <v>3156</v>
      </c>
      <c r="B1052" s="4" t="s">
        <v>3157</v>
      </c>
      <c r="C1052" s="3" t="s">
        <v>3158</v>
      </c>
      <c r="D1052" s="5" t="s">
        <v>8</v>
      </c>
      <c r="E1052" s="6">
        <f>VALUE(9.75)</f>
        <v>9.75</v>
      </c>
      <c r="F1052" s="5" t="s">
        <v>10</v>
      </c>
    </row>
    <row r="1053" spans="1:6" ht="29">
      <c r="A1053" s="1" t="s">
        <v>3159</v>
      </c>
      <c r="B1053" s="4" t="s">
        <v>3160</v>
      </c>
      <c r="C1053" s="3" t="s">
        <v>3161</v>
      </c>
      <c r="D1053" s="5" t="s">
        <v>8</v>
      </c>
      <c r="E1053" s="6">
        <f>VALUE(749.75)</f>
        <v>749.75</v>
      </c>
      <c r="F1053" s="5" t="s">
        <v>10</v>
      </c>
    </row>
    <row r="1054" spans="1:6" ht="29">
      <c r="A1054" s="1" t="s">
        <v>3162</v>
      </c>
      <c r="B1054" s="4" t="s">
        <v>3163</v>
      </c>
      <c r="C1054" s="3" t="s">
        <v>3164</v>
      </c>
      <c r="D1054" s="5" t="s">
        <v>8</v>
      </c>
      <c r="E1054" s="6">
        <f>VALUE(749.75)</f>
        <v>749.75</v>
      </c>
      <c r="F1054" s="5" t="s">
        <v>10</v>
      </c>
    </row>
    <row r="1055" spans="1:6" ht="29">
      <c r="A1055" s="1" t="s">
        <v>3165</v>
      </c>
      <c r="B1055" s="4" t="s">
        <v>3166</v>
      </c>
      <c r="C1055" s="3" t="s">
        <v>3167</v>
      </c>
      <c r="D1055" s="5" t="s">
        <v>8</v>
      </c>
      <c r="E1055" s="6">
        <f>VALUE(2149.75)</f>
        <v>2149.75</v>
      </c>
      <c r="F1055" s="5" t="s">
        <v>10</v>
      </c>
    </row>
    <row r="1056" spans="1:6" ht="29">
      <c r="A1056" s="1" t="s">
        <v>3168</v>
      </c>
      <c r="B1056" s="4" t="s">
        <v>3169</v>
      </c>
      <c r="C1056" s="3" t="s">
        <v>3170</v>
      </c>
      <c r="D1056" s="5" t="s">
        <v>8</v>
      </c>
      <c r="E1056" s="6">
        <f>VALUE(899.75)</f>
        <v>899.75</v>
      </c>
      <c r="F1056" s="5" t="s">
        <v>10</v>
      </c>
    </row>
    <row r="1057" spans="1:6" ht="29">
      <c r="A1057" s="1" t="s">
        <v>3171</v>
      </c>
      <c r="B1057" s="4" t="s">
        <v>3172</v>
      </c>
      <c r="C1057" s="3" t="s">
        <v>3173</v>
      </c>
      <c r="D1057" s="5" t="s">
        <v>8</v>
      </c>
      <c r="E1057" s="6">
        <f>VALUE(749.75)</f>
        <v>749.75</v>
      </c>
      <c r="F1057" s="5" t="s">
        <v>10</v>
      </c>
    </row>
    <row r="1058" spans="1:6">
      <c r="A1058" s="1" t="s">
        <v>3174</v>
      </c>
      <c r="B1058" s="4" t="s">
        <v>3175</v>
      </c>
      <c r="C1058" s="3" t="s">
        <v>3176</v>
      </c>
      <c r="D1058" s="5" t="s">
        <v>8</v>
      </c>
      <c r="E1058" s="6">
        <f>VALUE(9.75)</f>
        <v>9.75</v>
      </c>
      <c r="F1058" s="5" t="s">
        <v>10</v>
      </c>
    </row>
    <row r="1059" spans="1:6" ht="29">
      <c r="A1059" s="1" t="s">
        <v>3177</v>
      </c>
      <c r="B1059" s="4" t="s">
        <v>3178</v>
      </c>
      <c r="C1059" s="3" t="s">
        <v>3179</v>
      </c>
      <c r="D1059" s="5" t="s">
        <v>8</v>
      </c>
      <c r="E1059" s="6">
        <f>VALUE(299.75)</f>
        <v>299.75</v>
      </c>
      <c r="F1059" s="5" t="s">
        <v>10</v>
      </c>
    </row>
    <row r="1060" spans="1:6" ht="29">
      <c r="A1060" s="1" t="s">
        <v>3180</v>
      </c>
      <c r="B1060" s="4" t="s">
        <v>3181</v>
      </c>
      <c r="C1060" s="3" t="s">
        <v>3182</v>
      </c>
      <c r="D1060" s="5" t="s">
        <v>8</v>
      </c>
      <c r="E1060" s="6">
        <f>VALUE(299.75)</f>
        <v>299.75</v>
      </c>
      <c r="F1060" s="5" t="s">
        <v>10</v>
      </c>
    </row>
    <row r="1061" spans="1:6" ht="29">
      <c r="A1061" s="1" t="s">
        <v>3183</v>
      </c>
      <c r="B1061" s="4" t="s">
        <v>3184</v>
      </c>
      <c r="C1061" s="3" t="s">
        <v>3185</v>
      </c>
      <c r="D1061" s="5" t="s">
        <v>8</v>
      </c>
      <c r="E1061" s="6">
        <f>VALUE(149.75)</f>
        <v>149.75</v>
      </c>
      <c r="F1061" s="5" t="s">
        <v>10</v>
      </c>
    </row>
    <row r="1062" spans="1:6" ht="29">
      <c r="A1062" s="1" t="s">
        <v>3186</v>
      </c>
      <c r="B1062" s="4" t="s">
        <v>3187</v>
      </c>
      <c r="C1062" s="3" t="s">
        <v>3188</v>
      </c>
      <c r="D1062" s="5" t="s">
        <v>8</v>
      </c>
      <c r="E1062" s="6">
        <f>VALUE(149.75)</f>
        <v>149.75</v>
      </c>
      <c r="F1062" s="5" t="s">
        <v>10</v>
      </c>
    </row>
    <row r="1063" spans="1:6" ht="29">
      <c r="A1063" s="1" t="s">
        <v>3189</v>
      </c>
      <c r="B1063" s="4" t="s">
        <v>3190</v>
      </c>
      <c r="C1063" s="3" t="s">
        <v>3191</v>
      </c>
      <c r="D1063" s="5" t="s">
        <v>8</v>
      </c>
      <c r="E1063" s="6">
        <f>VALUE(14.75)</f>
        <v>14.75</v>
      </c>
      <c r="F1063" s="5" t="s">
        <v>10</v>
      </c>
    </row>
    <row r="1064" spans="1:6" ht="29">
      <c r="A1064" s="1" t="s">
        <v>3192</v>
      </c>
      <c r="B1064" s="4" t="s">
        <v>3193</v>
      </c>
      <c r="C1064" s="3" t="s">
        <v>3194</v>
      </c>
      <c r="D1064" s="5" t="s">
        <v>8</v>
      </c>
      <c r="E1064" s="6">
        <f>VALUE(149.75)</f>
        <v>149.75</v>
      </c>
      <c r="F1064" s="5" t="s">
        <v>10</v>
      </c>
    </row>
    <row r="1065" spans="1:6" ht="29">
      <c r="A1065" s="1" t="s">
        <v>3195</v>
      </c>
      <c r="B1065" s="4" t="s">
        <v>3196</v>
      </c>
      <c r="C1065" s="3" t="s">
        <v>3197</v>
      </c>
      <c r="D1065" s="5" t="s">
        <v>8</v>
      </c>
      <c r="E1065" s="6">
        <f>VALUE(149.75)</f>
        <v>149.75</v>
      </c>
      <c r="F1065" s="5" t="s">
        <v>10</v>
      </c>
    </row>
    <row r="1066" spans="1:6" ht="29">
      <c r="A1066" s="1" t="s">
        <v>3198</v>
      </c>
      <c r="B1066" s="4" t="s">
        <v>3199</v>
      </c>
      <c r="C1066" s="3" t="s">
        <v>3200</v>
      </c>
      <c r="D1066" s="5" t="s">
        <v>8</v>
      </c>
      <c r="E1066" s="6">
        <f>VALUE(174.75)</f>
        <v>174.75</v>
      </c>
      <c r="F1066" s="5" t="s">
        <v>10</v>
      </c>
    </row>
    <row r="1067" spans="1:6" ht="29">
      <c r="A1067" s="1" t="s">
        <v>3201</v>
      </c>
      <c r="B1067" s="4" t="s">
        <v>3202</v>
      </c>
      <c r="C1067" s="3" t="s">
        <v>3203</v>
      </c>
      <c r="D1067" s="5" t="s">
        <v>8</v>
      </c>
      <c r="E1067" s="6">
        <f>VALUE(749.75)</f>
        <v>749.75</v>
      </c>
      <c r="F1067" s="5" t="s">
        <v>10</v>
      </c>
    </row>
    <row r="1068" spans="1:6" ht="29">
      <c r="A1068" s="1" t="s">
        <v>3204</v>
      </c>
      <c r="B1068" s="4" t="s">
        <v>3205</v>
      </c>
      <c r="C1068" s="3" t="s">
        <v>3206</v>
      </c>
      <c r="D1068" s="5" t="s">
        <v>8</v>
      </c>
      <c r="E1068" s="6">
        <f>VALUE(649)</f>
        <v>649</v>
      </c>
      <c r="F1068" s="5" t="s">
        <v>10</v>
      </c>
    </row>
    <row r="1069" spans="1:6" ht="29">
      <c r="A1069" s="1" t="s">
        <v>3207</v>
      </c>
      <c r="B1069" s="4" t="s">
        <v>3208</v>
      </c>
      <c r="C1069" s="3" t="s">
        <v>3209</v>
      </c>
      <c r="D1069" s="5" t="s">
        <v>8</v>
      </c>
      <c r="E1069" s="6">
        <f>VALUE(749)</f>
        <v>749</v>
      </c>
      <c r="F1069" s="5" t="s">
        <v>10</v>
      </c>
    </row>
    <row r="1070" spans="1:6" ht="29">
      <c r="A1070" s="1" t="s">
        <v>3210</v>
      </c>
      <c r="B1070" s="4" t="s">
        <v>3211</v>
      </c>
      <c r="C1070" s="3" t="s">
        <v>3212</v>
      </c>
      <c r="D1070" s="5" t="s">
        <v>8</v>
      </c>
      <c r="E1070" s="6">
        <f>VALUE(899)</f>
        <v>899</v>
      </c>
      <c r="F1070" s="5" t="s">
        <v>10</v>
      </c>
    </row>
    <row r="1071" spans="1:6" ht="29">
      <c r="A1071" s="1" t="s">
        <v>3213</v>
      </c>
      <c r="B1071" s="4" t="s">
        <v>3214</v>
      </c>
      <c r="C1071" s="3" t="s">
        <v>3215</v>
      </c>
      <c r="D1071" s="5" t="s">
        <v>8</v>
      </c>
      <c r="E1071" s="6">
        <f>VALUE(749.75)</f>
        <v>749.75</v>
      </c>
      <c r="F1071" s="5" t="s">
        <v>10</v>
      </c>
    </row>
    <row r="1072" spans="1:6" ht="29">
      <c r="A1072" s="1" t="s">
        <v>3216</v>
      </c>
      <c r="B1072" s="4" t="s">
        <v>3217</v>
      </c>
      <c r="C1072" s="3" t="s">
        <v>3218</v>
      </c>
      <c r="D1072" s="5" t="s">
        <v>8</v>
      </c>
      <c r="E1072" s="6">
        <f>VALUE(649.75)</f>
        <v>649.75</v>
      </c>
      <c r="F1072" s="5" t="s">
        <v>10</v>
      </c>
    </row>
    <row r="1073" spans="1:6" ht="43.5">
      <c r="A1073" s="1" t="s">
        <v>3219</v>
      </c>
      <c r="B1073" s="4" t="s">
        <v>3220</v>
      </c>
      <c r="C1073" s="3" t="s">
        <v>3221</v>
      </c>
      <c r="D1073" s="5" t="s">
        <v>8</v>
      </c>
      <c r="E1073" s="6">
        <f>VALUE(899.75)</f>
        <v>899.75</v>
      </c>
      <c r="F1073" s="5" t="s">
        <v>10</v>
      </c>
    </row>
    <row r="1074" spans="1:6" ht="29">
      <c r="A1074" s="1" t="s">
        <v>3222</v>
      </c>
      <c r="B1074" s="4" t="s">
        <v>3223</v>
      </c>
      <c r="C1074" s="3" t="s">
        <v>3224</v>
      </c>
      <c r="D1074" s="5" t="s">
        <v>8</v>
      </c>
      <c r="E1074" s="6">
        <f>VALUE(799.75)</f>
        <v>799.75</v>
      </c>
      <c r="F1074" s="5" t="s">
        <v>10</v>
      </c>
    </row>
    <row r="1075" spans="1:6" ht="43.5">
      <c r="A1075" s="1" t="s">
        <v>3225</v>
      </c>
      <c r="B1075" s="4" t="s">
        <v>3226</v>
      </c>
      <c r="C1075" s="3" t="s">
        <v>3227</v>
      </c>
      <c r="D1075" s="5" t="s">
        <v>8</v>
      </c>
      <c r="E1075" s="6">
        <f>VALUE(1599.75)</f>
        <v>1599.75</v>
      </c>
      <c r="F1075" s="5" t="s">
        <v>10</v>
      </c>
    </row>
    <row r="1076" spans="1:6" ht="29">
      <c r="A1076" s="1" t="s">
        <v>3228</v>
      </c>
      <c r="B1076" s="4" t="s">
        <v>3229</v>
      </c>
      <c r="C1076" s="3" t="s">
        <v>3230</v>
      </c>
      <c r="D1076" s="5" t="s">
        <v>8</v>
      </c>
      <c r="E1076" s="6">
        <f>VALUE(1499.75)</f>
        <v>1499.75</v>
      </c>
      <c r="F1076" s="5" t="s">
        <v>10</v>
      </c>
    </row>
    <row r="1077" spans="1:6" ht="29">
      <c r="A1077" s="1" t="s">
        <v>3231</v>
      </c>
      <c r="B1077" s="4" t="s">
        <v>3232</v>
      </c>
      <c r="C1077" s="3" t="s">
        <v>3233</v>
      </c>
      <c r="D1077" s="5" t="s">
        <v>8</v>
      </c>
      <c r="E1077" s="6">
        <f>VALUE(999.75)</f>
        <v>999.75</v>
      </c>
      <c r="F1077" s="5" t="s">
        <v>10</v>
      </c>
    </row>
    <row r="1078" spans="1:6" ht="29">
      <c r="A1078" s="1" t="s">
        <v>3234</v>
      </c>
      <c r="B1078" s="4" t="s">
        <v>3235</v>
      </c>
      <c r="C1078" s="3" t="s">
        <v>3236</v>
      </c>
      <c r="D1078" s="5" t="s">
        <v>8</v>
      </c>
      <c r="E1078" s="6">
        <f>VALUE(849.75)</f>
        <v>849.75</v>
      </c>
      <c r="F1078" s="5" t="s">
        <v>10</v>
      </c>
    </row>
    <row r="1079" spans="1:6" ht="29">
      <c r="A1079" s="1" t="s">
        <v>3237</v>
      </c>
      <c r="B1079" s="4" t="s">
        <v>3238</v>
      </c>
      <c r="C1079" s="3" t="s">
        <v>3239</v>
      </c>
      <c r="D1079" s="5" t="s">
        <v>8</v>
      </c>
      <c r="E1079" s="6">
        <f>VALUE(1149.75)</f>
        <v>1149.75</v>
      </c>
      <c r="F1079" s="5" t="s">
        <v>10</v>
      </c>
    </row>
    <row r="1080" spans="1:6" ht="29">
      <c r="A1080" s="1" t="s">
        <v>3240</v>
      </c>
      <c r="B1080" s="4" t="s">
        <v>3241</v>
      </c>
      <c r="C1080" s="3" t="s">
        <v>3242</v>
      </c>
      <c r="D1080" s="5" t="s">
        <v>8</v>
      </c>
      <c r="E1080" s="6">
        <f>VALUE(999.75)</f>
        <v>999.75</v>
      </c>
      <c r="F1080" s="5" t="s">
        <v>10</v>
      </c>
    </row>
    <row r="1081" spans="1:6" ht="43.5">
      <c r="A1081" s="1" t="s">
        <v>3243</v>
      </c>
      <c r="B1081" s="4" t="s">
        <v>3244</v>
      </c>
      <c r="C1081" s="3" t="s">
        <v>3245</v>
      </c>
      <c r="D1081" s="5" t="s">
        <v>8</v>
      </c>
      <c r="E1081" s="6">
        <f>VALUE(2149.75)</f>
        <v>2149.75</v>
      </c>
      <c r="F1081" s="5" t="s">
        <v>10</v>
      </c>
    </row>
    <row r="1082" spans="1:6" ht="29">
      <c r="A1082" s="1" t="s">
        <v>3246</v>
      </c>
      <c r="B1082" s="4" t="s">
        <v>3247</v>
      </c>
      <c r="C1082" s="3" t="s">
        <v>3248</v>
      </c>
      <c r="D1082" s="5" t="s">
        <v>8</v>
      </c>
      <c r="E1082" s="6">
        <f>VALUE(1999.75)</f>
        <v>1999.75</v>
      </c>
      <c r="F1082" s="5" t="s">
        <v>10</v>
      </c>
    </row>
    <row r="1083" spans="1:6" ht="43.5">
      <c r="A1083" s="1" t="s">
        <v>3249</v>
      </c>
      <c r="B1083" s="4" t="s">
        <v>3250</v>
      </c>
      <c r="C1083" s="3" t="s">
        <v>3251</v>
      </c>
      <c r="D1083" s="5" t="s">
        <v>8</v>
      </c>
      <c r="E1083" s="6">
        <f>VALUE(1149.75)</f>
        <v>1149.75</v>
      </c>
      <c r="F1083" s="5" t="s">
        <v>10</v>
      </c>
    </row>
    <row r="1084" spans="1:6" ht="29">
      <c r="A1084" s="1" t="s">
        <v>3252</v>
      </c>
      <c r="B1084" s="4" t="s">
        <v>3253</v>
      </c>
      <c r="C1084" s="3" t="s">
        <v>3254</v>
      </c>
      <c r="D1084" s="5" t="s">
        <v>8</v>
      </c>
      <c r="E1084" s="6">
        <f>VALUE(999.75)</f>
        <v>999.75</v>
      </c>
      <c r="F1084" s="5" t="s">
        <v>10</v>
      </c>
    </row>
    <row r="1085" spans="1:6" ht="29">
      <c r="A1085" s="1" t="s">
        <v>3255</v>
      </c>
      <c r="B1085" s="4" t="s">
        <v>3256</v>
      </c>
      <c r="C1085" s="3" t="s">
        <v>3257</v>
      </c>
      <c r="D1085" s="5" t="s">
        <v>8</v>
      </c>
      <c r="E1085" s="6">
        <f>VALUE(149.75)</f>
        <v>149.75</v>
      </c>
      <c r="F1085" s="5" t="s">
        <v>10</v>
      </c>
    </row>
    <row r="1086" spans="1:6" ht="43.5">
      <c r="A1086" s="1" t="s">
        <v>3258</v>
      </c>
      <c r="B1086" s="4" t="s">
        <v>3259</v>
      </c>
      <c r="C1086" s="3" t="s">
        <v>3260</v>
      </c>
      <c r="D1086" s="5" t="s">
        <v>8</v>
      </c>
      <c r="E1086" s="6">
        <f t="shared" ref="E1086:E1096" si="0">VALUE(54.75)</f>
        <v>54.75</v>
      </c>
      <c r="F1086" s="5" t="s">
        <v>10</v>
      </c>
    </row>
    <row r="1087" spans="1:6" ht="43.5">
      <c r="A1087" s="1" t="s">
        <v>3261</v>
      </c>
      <c r="B1087" s="4" t="s">
        <v>3262</v>
      </c>
      <c r="C1087" s="3" t="s">
        <v>3263</v>
      </c>
      <c r="D1087" s="5" t="s">
        <v>8</v>
      </c>
      <c r="E1087" s="6">
        <f t="shared" si="0"/>
        <v>54.75</v>
      </c>
      <c r="F1087" s="5" t="s">
        <v>10</v>
      </c>
    </row>
    <row r="1088" spans="1:6" ht="29">
      <c r="A1088" s="1" t="s">
        <v>3264</v>
      </c>
      <c r="B1088" s="4" t="s">
        <v>3265</v>
      </c>
      <c r="C1088" s="3" t="s">
        <v>3266</v>
      </c>
      <c r="D1088" s="5" t="s">
        <v>8</v>
      </c>
      <c r="E1088" s="6">
        <f t="shared" si="0"/>
        <v>54.75</v>
      </c>
      <c r="F1088" s="5" t="s">
        <v>10</v>
      </c>
    </row>
    <row r="1089" spans="1:6" ht="43.5">
      <c r="A1089" s="1" t="s">
        <v>3267</v>
      </c>
      <c r="B1089" s="4" t="s">
        <v>3268</v>
      </c>
      <c r="C1089" s="3" t="s">
        <v>3269</v>
      </c>
      <c r="D1089" s="5" t="s">
        <v>8</v>
      </c>
      <c r="E1089" s="6">
        <f t="shared" si="0"/>
        <v>54.75</v>
      </c>
      <c r="F1089" s="5" t="s">
        <v>10</v>
      </c>
    </row>
    <row r="1090" spans="1:6" ht="43.5">
      <c r="A1090" s="1" t="s">
        <v>3270</v>
      </c>
      <c r="B1090" s="4" t="s">
        <v>3271</v>
      </c>
      <c r="C1090" s="3" t="s">
        <v>3272</v>
      </c>
      <c r="D1090" s="5" t="s">
        <v>8</v>
      </c>
      <c r="E1090" s="6">
        <f t="shared" si="0"/>
        <v>54.75</v>
      </c>
      <c r="F1090" s="5" t="s">
        <v>10</v>
      </c>
    </row>
    <row r="1091" spans="1:6" ht="43.5">
      <c r="A1091" s="1" t="s">
        <v>3273</v>
      </c>
      <c r="B1091" s="4" t="s">
        <v>3274</v>
      </c>
      <c r="C1091" s="3" t="s">
        <v>3275</v>
      </c>
      <c r="D1091" s="5" t="s">
        <v>8</v>
      </c>
      <c r="E1091" s="6">
        <f t="shared" si="0"/>
        <v>54.75</v>
      </c>
      <c r="F1091" s="5" t="s">
        <v>10</v>
      </c>
    </row>
    <row r="1092" spans="1:6" ht="43.5">
      <c r="A1092" s="1" t="s">
        <v>3276</v>
      </c>
      <c r="B1092" s="4" t="s">
        <v>3277</v>
      </c>
      <c r="C1092" s="3" t="s">
        <v>3278</v>
      </c>
      <c r="D1092" s="5" t="s">
        <v>8</v>
      </c>
      <c r="E1092" s="6">
        <f t="shared" si="0"/>
        <v>54.75</v>
      </c>
      <c r="F1092" s="5" t="s">
        <v>10</v>
      </c>
    </row>
    <row r="1093" spans="1:6" ht="43.5">
      <c r="A1093" s="1" t="s">
        <v>3279</v>
      </c>
      <c r="B1093" s="4" t="s">
        <v>3280</v>
      </c>
      <c r="C1093" s="3" t="s">
        <v>3281</v>
      </c>
      <c r="D1093" s="5" t="s">
        <v>8</v>
      </c>
      <c r="E1093" s="6">
        <f t="shared" si="0"/>
        <v>54.75</v>
      </c>
      <c r="F1093" s="5" t="s">
        <v>10</v>
      </c>
    </row>
    <row r="1094" spans="1:6" ht="43.5">
      <c r="A1094" s="1" t="s">
        <v>3282</v>
      </c>
      <c r="B1094" s="4" t="s">
        <v>3283</v>
      </c>
      <c r="C1094" s="3" t="s">
        <v>3284</v>
      </c>
      <c r="D1094" s="5" t="s">
        <v>8</v>
      </c>
      <c r="E1094" s="6">
        <f t="shared" si="0"/>
        <v>54.75</v>
      </c>
      <c r="F1094" s="5" t="s">
        <v>10</v>
      </c>
    </row>
    <row r="1095" spans="1:6" ht="43.5">
      <c r="A1095" s="1" t="s">
        <v>3285</v>
      </c>
      <c r="B1095" s="4" t="s">
        <v>3286</v>
      </c>
      <c r="C1095" s="3" t="s">
        <v>3287</v>
      </c>
      <c r="D1095" s="5" t="s">
        <v>8</v>
      </c>
      <c r="E1095" s="6">
        <f t="shared" si="0"/>
        <v>54.75</v>
      </c>
      <c r="F1095" s="5" t="s">
        <v>10</v>
      </c>
    </row>
    <row r="1096" spans="1:6" ht="43.5">
      <c r="A1096" s="1" t="s">
        <v>3288</v>
      </c>
      <c r="B1096" s="4" t="s">
        <v>3289</v>
      </c>
      <c r="C1096" s="3" t="s">
        <v>3290</v>
      </c>
      <c r="D1096" s="5" t="s">
        <v>8</v>
      </c>
      <c r="E1096" s="6">
        <f t="shared" si="0"/>
        <v>54.75</v>
      </c>
      <c r="F1096" s="5" t="s">
        <v>10</v>
      </c>
    </row>
    <row r="1097" spans="1:6" ht="43.5">
      <c r="A1097" s="1" t="s">
        <v>3291</v>
      </c>
      <c r="B1097" s="4" t="s">
        <v>3292</v>
      </c>
      <c r="C1097" s="3" t="s">
        <v>3293</v>
      </c>
      <c r="D1097" s="5" t="s">
        <v>8</v>
      </c>
      <c r="E1097" s="6">
        <f>VALUE(109.75)</f>
        <v>109.75</v>
      </c>
      <c r="F1097" s="5" t="s">
        <v>10</v>
      </c>
    </row>
    <row r="1098" spans="1:6" ht="29">
      <c r="A1098" s="1" t="s">
        <v>3294</v>
      </c>
      <c r="B1098" s="4" t="s">
        <v>3295</v>
      </c>
      <c r="C1098" s="3" t="s">
        <v>3296</v>
      </c>
      <c r="D1098" s="5" t="s">
        <v>8</v>
      </c>
      <c r="E1098" s="6">
        <f>VALUE(59.75)</f>
        <v>59.75</v>
      </c>
      <c r="F1098" s="5" t="s">
        <v>10</v>
      </c>
    </row>
    <row r="1099" spans="1:6" ht="29">
      <c r="A1099" s="1" t="s">
        <v>3297</v>
      </c>
      <c r="B1099" s="4" t="s">
        <v>3298</v>
      </c>
      <c r="C1099" s="3" t="s">
        <v>3299</v>
      </c>
      <c r="D1099" s="5" t="s">
        <v>8</v>
      </c>
      <c r="E1099" s="6">
        <f>VALUE(39.75)</f>
        <v>39.75</v>
      </c>
      <c r="F1099" s="5" t="s">
        <v>10</v>
      </c>
    </row>
    <row r="1100" spans="1:6" ht="29">
      <c r="A1100" s="1" t="s">
        <v>3300</v>
      </c>
      <c r="B1100" s="4" t="s">
        <v>3301</v>
      </c>
      <c r="C1100" s="3" t="s">
        <v>3302</v>
      </c>
      <c r="D1100" s="5" t="s">
        <v>8</v>
      </c>
      <c r="E1100" s="6">
        <f>VALUE(149.75)</f>
        <v>149.75</v>
      </c>
      <c r="F1100" s="5" t="s">
        <v>10</v>
      </c>
    </row>
    <row r="1101" spans="1:6" ht="29">
      <c r="A1101" s="1" t="s">
        <v>3303</v>
      </c>
      <c r="B1101" s="4" t="s">
        <v>3304</v>
      </c>
      <c r="C1101" s="3" t="s">
        <v>3305</v>
      </c>
      <c r="D1101" s="5" t="s">
        <v>8</v>
      </c>
      <c r="E1101" s="6">
        <f>VALUE(394)</f>
        <v>394</v>
      </c>
      <c r="F1101" s="5" t="s">
        <v>10</v>
      </c>
    </row>
    <row r="1102" spans="1:6" ht="29">
      <c r="A1102" s="1" t="s">
        <v>3306</v>
      </c>
      <c r="B1102" s="4" t="s">
        <v>3307</v>
      </c>
      <c r="C1102" s="3" t="s">
        <v>3308</v>
      </c>
      <c r="D1102" s="5" t="s">
        <v>8</v>
      </c>
      <c r="E1102" s="6">
        <f>VALUE(444)</f>
        <v>444</v>
      </c>
      <c r="F1102" s="5" t="s">
        <v>10</v>
      </c>
    </row>
    <row r="1103" spans="1:6" ht="29">
      <c r="A1103" s="1" t="s">
        <v>3309</v>
      </c>
      <c r="B1103" s="4" t="s">
        <v>3310</v>
      </c>
      <c r="C1103" s="3" t="s">
        <v>3311</v>
      </c>
      <c r="D1103" s="5" t="s">
        <v>8</v>
      </c>
      <c r="E1103" s="6">
        <f>VALUE(749)</f>
        <v>749</v>
      </c>
      <c r="F1103" s="5" t="s">
        <v>10</v>
      </c>
    </row>
    <row r="1104" spans="1:6" ht="29">
      <c r="A1104" s="1" t="s">
        <v>3312</v>
      </c>
      <c r="B1104" s="4" t="s">
        <v>3313</v>
      </c>
      <c r="C1104" s="3" t="s">
        <v>3314</v>
      </c>
      <c r="D1104" s="5" t="s">
        <v>8</v>
      </c>
      <c r="E1104" s="6">
        <f>VALUE(2000)</f>
        <v>2000</v>
      </c>
      <c r="F1104" s="5" t="s">
        <v>10</v>
      </c>
    </row>
    <row r="1105" spans="1:6" ht="29">
      <c r="A1105" s="1" t="s">
        <v>3315</v>
      </c>
      <c r="B1105" s="4" t="s">
        <v>3316</v>
      </c>
      <c r="C1105" s="3" t="s">
        <v>3317</v>
      </c>
      <c r="D1105" s="5" t="s">
        <v>8</v>
      </c>
      <c r="E1105" s="6">
        <f>VALUE(1800)</f>
        <v>1800</v>
      </c>
      <c r="F1105" s="5" t="s">
        <v>10</v>
      </c>
    </row>
    <row r="1106" spans="1:6" ht="29">
      <c r="A1106" s="1" t="s">
        <v>3318</v>
      </c>
      <c r="B1106" s="4" t="s">
        <v>3319</v>
      </c>
      <c r="C1106" s="3" t="s">
        <v>3320</v>
      </c>
      <c r="D1106" s="5" t="s">
        <v>8</v>
      </c>
      <c r="E1106" s="6">
        <f>VALUE(2500)</f>
        <v>2500</v>
      </c>
      <c r="F1106" s="5" t="s">
        <v>10</v>
      </c>
    </row>
    <row r="1107" spans="1:6" ht="29">
      <c r="A1107" s="1" t="s">
        <v>3321</v>
      </c>
      <c r="B1107" s="4" t="s">
        <v>3322</v>
      </c>
      <c r="C1107" s="3" t="s">
        <v>3323</v>
      </c>
      <c r="D1107" s="5" t="s">
        <v>8</v>
      </c>
      <c r="E1107" s="6">
        <f>VALUE(1050)</f>
        <v>1050</v>
      </c>
      <c r="F1107" s="5" t="s">
        <v>10</v>
      </c>
    </row>
    <row r="1108" spans="1:6" ht="29">
      <c r="A1108" s="1" t="s">
        <v>3324</v>
      </c>
      <c r="B1108" s="4" t="s">
        <v>3325</v>
      </c>
      <c r="C1108" s="3" t="s">
        <v>3326</v>
      </c>
      <c r="D1108" s="5" t="s">
        <v>8</v>
      </c>
      <c r="E1108" s="6">
        <f>VALUE(99.75)</f>
        <v>99.75</v>
      </c>
      <c r="F1108" s="5" t="s">
        <v>10</v>
      </c>
    </row>
    <row r="1109" spans="1:6" ht="29">
      <c r="A1109" s="1" t="s">
        <v>3327</v>
      </c>
      <c r="B1109" s="4" t="s">
        <v>3328</v>
      </c>
      <c r="C1109" s="3" t="s">
        <v>3329</v>
      </c>
      <c r="D1109" s="5" t="s">
        <v>8</v>
      </c>
      <c r="E1109" s="6">
        <f>VALUE(749.75)</f>
        <v>749.75</v>
      </c>
      <c r="F1109" s="5" t="s">
        <v>10</v>
      </c>
    </row>
    <row r="1110" spans="1:6" ht="29">
      <c r="A1110" s="1" t="s">
        <v>3330</v>
      </c>
      <c r="B1110" s="4" t="s">
        <v>3331</v>
      </c>
      <c r="C1110" s="3" t="s">
        <v>3332</v>
      </c>
      <c r="D1110" s="5" t="s">
        <v>8</v>
      </c>
      <c r="E1110" s="6">
        <f>VALUE(49.75)</f>
        <v>49.75</v>
      </c>
      <c r="F1110" s="5" t="s">
        <v>10</v>
      </c>
    </row>
    <row r="1111" spans="1:6" ht="29">
      <c r="A1111" s="1" t="s">
        <v>3333</v>
      </c>
      <c r="B1111" s="4" t="s">
        <v>3334</v>
      </c>
      <c r="C1111" s="3" t="s">
        <v>3335</v>
      </c>
      <c r="D1111" s="5" t="s">
        <v>8</v>
      </c>
      <c r="E1111" s="6">
        <f>VALUE(99.75)</f>
        <v>99.75</v>
      </c>
      <c r="F1111" s="5" t="s">
        <v>10</v>
      </c>
    </row>
    <row r="1112" spans="1:6" ht="29">
      <c r="A1112" s="1" t="s">
        <v>3336</v>
      </c>
      <c r="B1112" s="4" t="s">
        <v>3337</v>
      </c>
      <c r="C1112" s="3" t="s">
        <v>3338</v>
      </c>
      <c r="D1112" s="5" t="s">
        <v>8</v>
      </c>
      <c r="E1112" s="6">
        <f>VALUE(174.75)</f>
        <v>174.75</v>
      </c>
      <c r="F1112" s="5" t="s">
        <v>10</v>
      </c>
    </row>
    <row r="1113" spans="1:6" ht="29">
      <c r="A1113" s="1" t="s">
        <v>3339</v>
      </c>
      <c r="B1113" s="4" t="s">
        <v>3340</v>
      </c>
      <c r="C1113" s="3" t="s">
        <v>3341</v>
      </c>
      <c r="D1113" s="5" t="s">
        <v>8</v>
      </c>
      <c r="E1113" s="6">
        <f>VALUE(199.75)</f>
        <v>199.75</v>
      </c>
      <c r="F1113" s="5" t="s">
        <v>10</v>
      </c>
    </row>
    <row r="1114" spans="1:6" ht="29">
      <c r="A1114" s="1" t="s">
        <v>3342</v>
      </c>
      <c r="B1114" s="4" t="s">
        <v>3343</v>
      </c>
      <c r="C1114" s="3" t="s">
        <v>3344</v>
      </c>
      <c r="D1114" s="5" t="s">
        <v>8</v>
      </c>
      <c r="E1114" s="6">
        <f>VALUE(2999.25)</f>
        <v>2999.25</v>
      </c>
      <c r="F1114" s="5" t="s">
        <v>10</v>
      </c>
    </row>
    <row r="1115" spans="1:6" ht="29">
      <c r="A1115" s="1" t="s">
        <v>3345</v>
      </c>
      <c r="B1115" s="4" t="s">
        <v>3346</v>
      </c>
      <c r="C1115" s="3" t="s">
        <v>3347</v>
      </c>
      <c r="D1115" s="5" t="s">
        <v>8</v>
      </c>
      <c r="E1115" s="6">
        <f>VALUE(2250)</f>
        <v>2250</v>
      </c>
      <c r="F1115" s="5" t="s">
        <v>10</v>
      </c>
    </row>
    <row r="1116" spans="1:6" ht="29">
      <c r="A1116" s="1" t="s">
        <v>3348</v>
      </c>
      <c r="B1116" s="4" t="s">
        <v>3349</v>
      </c>
      <c r="C1116" s="3" t="s">
        <v>3350</v>
      </c>
      <c r="D1116" s="5" t="s">
        <v>8</v>
      </c>
      <c r="E1116" s="6">
        <f>VALUE(13200)</f>
        <v>13200</v>
      </c>
      <c r="F1116" s="5" t="s">
        <v>10</v>
      </c>
    </row>
    <row r="1117" spans="1:6" ht="29">
      <c r="A1117" s="1" t="s">
        <v>3351</v>
      </c>
      <c r="B1117" s="4" t="s">
        <v>3352</v>
      </c>
      <c r="C1117" s="3" t="s">
        <v>3353</v>
      </c>
      <c r="D1117" s="5" t="s">
        <v>8</v>
      </c>
      <c r="E1117" s="6">
        <f>VALUE(9300)</f>
        <v>9300</v>
      </c>
      <c r="F1117" s="5" t="s">
        <v>10</v>
      </c>
    </row>
    <row r="1118" spans="1:6" ht="29">
      <c r="A1118" s="1" t="s">
        <v>3354</v>
      </c>
      <c r="B1118" s="4" t="s">
        <v>3355</v>
      </c>
      <c r="C1118" s="3" t="s">
        <v>3356</v>
      </c>
      <c r="D1118" s="5" t="s">
        <v>8</v>
      </c>
      <c r="E1118" s="6">
        <f>VALUE(7349.25)</f>
        <v>7349.25</v>
      </c>
      <c r="F1118" s="5" t="s">
        <v>10</v>
      </c>
    </row>
    <row r="1119" spans="1:6" ht="29">
      <c r="A1119" s="1" t="s">
        <v>3357</v>
      </c>
      <c r="B1119" s="4" t="s">
        <v>3358</v>
      </c>
      <c r="C1119" s="3" t="s">
        <v>3359</v>
      </c>
      <c r="D1119" s="5" t="s">
        <v>8</v>
      </c>
      <c r="E1119" s="6">
        <f>VALUE(2249.25)</f>
        <v>2249.25</v>
      </c>
      <c r="F1119" s="5" t="s">
        <v>10</v>
      </c>
    </row>
    <row r="1120" spans="1:6" ht="29">
      <c r="A1120" s="1" t="s">
        <v>3360</v>
      </c>
      <c r="B1120" s="4" t="s">
        <v>3361</v>
      </c>
      <c r="C1120" s="3" t="s">
        <v>3362</v>
      </c>
      <c r="D1120" s="5" t="s">
        <v>8</v>
      </c>
      <c r="E1120" s="6">
        <f>VALUE(208000)</f>
        <v>208000</v>
      </c>
      <c r="F1120" s="5" t="s">
        <v>10</v>
      </c>
    </row>
    <row r="1121" spans="1:6" ht="43.5">
      <c r="A1121" s="1" t="s">
        <v>3363</v>
      </c>
      <c r="B1121" s="4" t="s">
        <v>3364</v>
      </c>
      <c r="C1121" s="3" t="s">
        <v>3365</v>
      </c>
      <c r="D1121" s="5" t="s">
        <v>8</v>
      </c>
      <c r="E1121" s="6">
        <f>VALUE(1400)</f>
        <v>1400</v>
      </c>
      <c r="F1121" s="5" t="s">
        <v>10</v>
      </c>
    </row>
    <row r="1122" spans="1:6" ht="43.5">
      <c r="A1122" s="1" t="s">
        <v>3366</v>
      </c>
      <c r="B1122" s="4" t="s">
        <v>3367</v>
      </c>
      <c r="C1122" s="3" t="s">
        <v>3368</v>
      </c>
      <c r="D1122" s="5" t="s">
        <v>8</v>
      </c>
      <c r="E1122" s="6">
        <f>VALUE(1400)</f>
        <v>1400</v>
      </c>
      <c r="F1122" s="5" t="s">
        <v>10</v>
      </c>
    </row>
    <row r="1123" spans="1:6" ht="43.5">
      <c r="A1123" s="1" t="s">
        <v>3369</v>
      </c>
      <c r="B1123" s="4" t="s">
        <v>3370</v>
      </c>
      <c r="C1123" s="3" t="s">
        <v>3371</v>
      </c>
      <c r="D1123" s="5" t="s">
        <v>8</v>
      </c>
      <c r="E1123" s="6">
        <f>VALUE(1400)</f>
        <v>1400</v>
      </c>
      <c r="F1123" s="5" t="s">
        <v>10</v>
      </c>
    </row>
    <row r="1124" spans="1:6" ht="58">
      <c r="A1124" s="1" t="s">
        <v>3372</v>
      </c>
      <c r="B1124" s="4" t="s">
        <v>3373</v>
      </c>
      <c r="C1124" s="3" t="s">
        <v>3374</v>
      </c>
      <c r="D1124" s="5" t="s">
        <v>8</v>
      </c>
      <c r="E1124" s="6">
        <f>VALUE(1400)</f>
        <v>1400</v>
      </c>
      <c r="F1124" s="5" t="s">
        <v>10</v>
      </c>
    </row>
    <row r="1125" spans="1:6" ht="29">
      <c r="A1125" s="1" t="s">
        <v>3375</v>
      </c>
      <c r="B1125" s="4" t="s">
        <v>3376</v>
      </c>
      <c r="C1125" s="3" t="s">
        <v>3377</v>
      </c>
      <c r="D1125" s="5" t="s">
        <v>8</v>
      </c>
      <c r="E1125" s="6">
        <f>VALUE(2995)</f>
        <v>2995</v>
      </c>
      <c r="F1125" s="5" t="s">
        <v>10</v>
      </c>
    </row>
    <row r="1126" spans="1:6" ht="43.5">
      <c r="A1126" s="1" t="s">
        <v>3378</v>
      </c>
      <c r="B1126" s="4" t="s">
        <v>3379</v>
      </c>
      <c r="C1126" s="3" t="s">
        <v>3378</v>
      </c>
      <c r="D1126" s="5" t="s">
        <v>8</v>
      </c>
      <c r="E1126" s="6">
        <f>VALUE(9995)</f>
        <v>9995</v>
      </c>
      <c r="F1126" s="5" t="s">
        <v>10</v>
      </c>
    </row>
    <row r="1127" spans="1:6" ht="43.5">
      <c r="A1127" s="1" t="s">
        <v>3380</v>
      </c>
      <c r="B1127" s="4" t="s">
        <v>3381</v>
      </c>
      <c r="C1127" s="3" t="s">
        <v>3382</v>
      </c>
      <c r="D1127" s="5" t="s">
        <v>8</v>
      </c>
      <c r="E1127" s="6">
        <f>VALUE(599)</f>
        <v>599</v>
      </c>
      <c r="F1127" s="5" t="s">
        <v>10</v>
      </c>
    </row>
    <row r="1128" spans="1:6" ht="29">
      <c r="A1128" s="1" t="s">
        <v>3383</v>
      </c>
      <c r="B1128" s="4" t="s">
        <v>3384</v>
      </c>
      <c r="C1128" s="3" t="s">
        <v>3385</v>
      </c>
      <c r="D1128" s="5" t="s">
        <v>8</v>
      </c>
      <c r="E1128" s="6">
        <f>VALUE(449.25)</f>
        <v>449.25</v>
      </c>
      <c r="F1128" s="5" t="s">
        <v>10</v>
      </c>
    </row>
    <row r="1129" spans="1:6" ht="43.5">
      <c r="A1129" s="1" t="s">
        <v>3386</v>
      </c>
      <c r="B1129" s="4" t="s">
        <v>3387</v>
      </c>
      <c r="C1129" s="3" t="s">
        <v>3388</v>
      </c>
      <c r="D1129" s="5" t="s">
        <v>8</v>
      </c>
      <c r="E1129" s="6">
        <f>VALUE(1182)</f>
        <v>1182</v>
      </c>
      <c r="F1129" s="5" t="s">
        <v>10</v>
      </c>
    </row>
    <row r="1130" spans="1:6" ht="43.5">
      <c r="A1130" s="1" t="s">
        <v>3389</v>
      </c>
      <c r="B1130" s="4" t="s">
        <v>3390</v>
      </c>
      <c r="C1130" s="3" t="s">
        <v>3391</v>
      </c>
      <c r="D1130" s="5" t="s">
        <v>8</v>
      </c>
      <c r="E1130" s="6">
        <f>VALUE(1576)</f>
        <v>1576</v>
      </c>
      <c r="F1130" s="5" t="s">
        <v>10</v>
      </c>
    </row>
    <row r="1131" spans="1:6" ht="43.5">
      <c r="A1131" s="1" t="s">
        <v>3392</v>
      </c>
      <c r="B1131" s="4" t="s">
        <v>3393</v>
      </c>
      <c r="C1131" s="3" t="s">
        <v>3394</v>
      </c>
      <c r="D1131" s="5" t="s">
        <v>8</v>
      </c>
      <c r="E1131" s="6">
        <f>VALUE(1182)</f>
        <v>1182</v>
      </c>
      <c r="F1131" s="5" t="s">
        <v>10</v>
      </c>
    </row>
    <row r="1132" spans="1:6" ht="43.5">
      <c r="A1132" s="1" t="s">
        <v>3395</v>
      </c>
      <c r="B1132" s="4" t="s">
        <v>3396</v>
      </c>
      <c r="C1132" s="3" t="s">
        <v>3397</v>
      </c>
      <c r="D1132" s="5" t="s">
        <v>8</v>
      </c>
      <c r="E1132" s="6">
        <f>VALUE(1332)</f>
        <v>1332</v>
      </c>
      <c r="F1132" s="5" t="s">
        <v>10</v>
      </c>
    </row>
    <row r="1133" spans="1:6" ht="43.5">
      <c r="A1133" s="1" t="s">
        <v>3398</v>
      </c>
      <c r="B1133" s="4" t="s">
        <v>3399</v>
      </c>
      <c r="C1133" s="3" t="s">
        <v>3400</v>
      </c>
      <c r="D1133" s="5" t="s">
        <v>8</v>
      </c>
      <c r="E1133" s="6">
        <f>VALUE(1776)</f>
        <v>1776</v>
      </c>
      <c r="F1133" s="5" t="s">
        <v>10</v>
      </c>
    </row>
    <row r="1134" spans="1:6" ht="43.5">
      <c r="A1134" s="1" t="s">
        <v>3401</v>
      </c>
      <c r="B1134" s="4" t="s">
        <v>3402</v>
      </c>
      <c r="C1134" s="3" t="s">
        <v>3403</v>
      </c>
      <c r="D1134" s="5" t="s">
        <v>8</v>
      </c>
      <c r="E1134" s="6">
        <f>VALUE(1332)</f>
        <v>1332</v>
      </c>
      <c r="F1134" s="5" t="s">
        <v>10</v>
      </c>
    </row>
    <row r="1135" spans="1:6" ht="43.5">
      <c r="A1135" s="1" t="s">
        <v>3404</v>
      </c>
      <c r="B1135" s="4" t="s">
        <v>3405</v>
      </c>
      <c r="C1135" s="3" t="s">
        <v>3406</v>
      </c>
      <c r="D1135" s="5" t="s">
        <v>8</v>
      </c>
      <c r="E1135" s="6">
        <f>VALUE(2247)</f>
        <v>2247</v>
      </c>
      <c r="F1135" s="5" t="s">
        <v>10</v>
      </c>
    </row>
    <row r="1136" spans="1:6" ht="43.5">
      <c r="A1136" s="1" t="s">
        <v>3407</v>
      </c>
      <c r="B1136" s="4" t="s">
        <v>3408</v>
      </c>
      <c r="C1136" s="3" t="s">
        <v>3409</v>
      </c>
      <c r="D1136" s="5" t="s">
        <v>8</v>
      </c>
      <c r="E1136" s="6">
        <f>VALUE(2996)</f>
        <v>2996</v>
      </c>
      <c r="F1136" s="5" t="s">
        <v>10</v>
      </c>
    </row>
    <row r="1137" spans="1:6" ht="43.5">
      <c r="A1137" s="1" t="s">
        <v>3410</v>
      </c>
      <c r="B1137" s="4" t="s">
        <v>3411</v>
      </c>
      <c r="C1137" s="3" t="s">
        <v>3412</v>
      </c>
      <c r="D1137" s="5" t="s">
        <v>8</v>
      </c>
      <c r="E1137" s="6">
        <f>VALUE(2247)</f>
        <v>2247</v>
      </c>
      <c r="F1137" s="5" t="s">
        <v>10</v>
      </c>
    </row>
    <row r="1138" spans="1:6" ht="43.5">
      <c r="A1138" s="1" t="s">
        <v>3413</v>
      </c>
      <c r="B1138" s="4" t="s">
        <v>3414</v>
      </c>
      <c r="C1138" s="3" t="s">
        <v>3415</v>
      </c>
      <c r="D1138" s="5" t="s">
        <v>8</v>
      </c>
      <c r="E1138" s="6">
        <f>VALUE(6000)</f>
        <v>6000</v>
      </c>
      <c r="F1138" s="5" t="s">
        <v>10</v>
      </c>
    </row>
    <row r="1139" spans="1:6" ht="43.5">
      <c r="A1139" s="1" t="s">
        <v>3416</v>
      </c>
      <c r="B1139" s="4" t="s">
        <v>3417</v>
      </c>
      <c r="C1139" s="3" t="s">
        <v>3418</v>
      </c>
      <c r="D1139" s="5" t="s">
        <v>8</v>
      </c>
      <c r="E1139" s="6">
        <f>VALUE(4499.25)</f>
        <v>4499.25</v>
      </c>
      <c r="F1139" s="5" t="s">
        <v>10</v>
      </c>
    </row>
    <row r="1140" spans="1:6" ht="43.5">
      <c r="A1140" s="1" t="s">
        <v>3419</v>
      </c>
      <c r="B1140" s="4" t="s">
        <v>3420</v>
      </c>
      <c r="C1140" s="3" t="s">
        <v>3421</v>
      </c>
      <c r="D1140" s="5" t="s">
        <v>8</v>
      </c>
      <c r="E1140" s="6">
        <f>VALUE(5999)</f>
        <v>5999</v>
      </c>
      <c r="F1140" s="5" t="s">
        <v>10</v>
      </c>
    </row>
    <row r="1141" spans="1:6" ht="43.5">
      <c r="A1141" s="1" t="s">
        <v>3422</v>
      </c>
      <c r="B1141" s="4" t="s">
        <v>3423</v>
      </c>
      <c r="C1141" s="3" t="s">
        <v>3424</v>
      </c>
      <c r="D1141" s="5" t="s">
        <v>8</v>
      </c>
      <c r="E1141" s="6">
        <f>VALUE(4499.25)</f>
        <v>4499.25</v>
      </c>
      <c r="F1141" s="5" t="s">
        <v>10</v>
      </c>
    </row>
    <row r="1142" spans="1:6" ht="43.5">
      <c r="A1142" s="1" t="s">
        <v>3425</v>
      </c>
      <c r="B1142" s="4" t="s">
        <v>3426</v>
      </c>
      <c r="C1142" s="3" t="s">
        <v>3427</v>
      </c>
      <c r="D1142" s="5" t="s">
        <v>8</v>
      </c>
      <c r="E1142" s="6">
        <f>VALUE(1499.75)</f>
        <v>1499.75</v>
      </c>
      <c r="F1142" s="5" t="s">
        <v>10</v>
      </c>
    </row>
    <row r="1143" spans="1:6" ht="43.5">
      <c r="A1143" s="1" t="s">
        <v>3428</v>
      </c>
      <c r="B1143" s="4" t="s">
        <v>3429</v>
      </c>
      <c r="C1143" s="3" t="s">
        <v>3430</v>
      </c>
      <c r="D1143" s="5" t="s">
        <v>8</v>
      </c>
      <c r="E1143" s="6">
        <f>VALUE(1499.25)</f>
        <v>1499.25</v>
      </c>
      <c r="F1143" s="5" t="s">
        <v>10</v>
      </c>
    </row>
    <row r="1144" spans="1:6" ht="29">
      <c r="A1144" s="1" t="s">
        <v>3431</v>
      </c>
      <c r="B1144" s="4" t="s">
        <v>3432</v>
      </c>
      <c r="C1144" s="3" t="s">
        <v>3433</v>
      </c>
      <c r="D1144" s="5" t="s">
        <v>8</v>
      </c>
      <c r="E1144" s="6">
        <f>VALUE(1999)</f>
        <v>1999</v>
      </c>
      <c r="F1144" s="5" t="s">
        <v>10</v>
      </c>
    </row>
    <row r="1145" spans="1:6" ht="29">
      <c r="A1145" s="1" t="s">
        <v>3434</v>
      </c>
      <c r="B1145" s="4" t="s">
        <v>3435</v>
      </c>
      <c r="C1145" s="3" t="s">
        <v>3436</v>
      </c>
      <c r="D1145" s="5" t="s">
        <v>8</v>
      </c>
      <c r="E1145" s="6">
        <f>VALUE(1499.25)</f>
        <v>1499.25</v>
      </c>
      <c r="F1145" s="5" t="s">
        <v>10</v>
      </c>
    </row>
    <row r="1146" spans="1:6" ht="29">
      <c r="A1146" s="1" t="s">
        <v>3437</v>
      </c>
      <c r="B1146" s="4" t="s">
        <v>3438</v>
      </c>
      <c r="C1146" s="3" t="s">
        <v>3439</v>
      </c>
      <c r="D1146" s="5" t="s">
        <v>8</v>
      </c>
      <c r="E1146" s="6">
        <f>VALUE(499.75)</f>
        <v>499.75</v>
      </c>
      <c r="F1146" s="5" t="s">
        <v>10</v>
      </c>
    </row>
    <row r="1147" spans="1:6" ht="43.5">
      <c r="A1147" s="1" t="s">
        <v>3440</v>
      </c>
      <c r="B1147" s="4" t="s">
        <v>3441</v>
      </c>
      <c r="C1147" s="3" t="s">
        <v>3442</v>
      </c>
      <c r="D1147" s="5" t="s">
        <v>8</v>
      </c>
      <c r="E1147" s="6">
        <f>VALUE(2174.25)</f>
        <v>2174.25</v>
      </c>
      <c r="F1147" s="5" t="s">
        <v>10</v>
      </c>
    </row>
    <row r="1148" spans="1:6" ht="43.5">
      <c r="A1148" s="1" t="s">
        <v>3443</v>
      </c>
      <c r="B1148" s="4" t="s">
        <v>3444</v>
      </c>
      <c r="C1148" s="3" t="s">
        <v>3445</v>
      </c>
      <c r="D1148" s="5" t="s">
        <v>8</v>
      </c>
      <c r="E1148" s="6">
        <f>VALUE(2899)</f>
        <v>2899</v>
      </c>
      <c r="F1148" s="5" t="s">
        <v>10</v>
      </c>
    </row>
    <row r="1149" spans="1:6" ht="43.5">
      <c r="A1149" s="1" t="s">
        <v>3446</v>
      </c>
      <c r="B1149" s="4" t="s">
        <v>3447</v>
      </c>
      <c r="C1149" s="3" t="s">
        <v>3448</v>
      </c>
      <c r="D1149" s="5" t="s">
        <v>8</v>
      </c>
      <c r="E1149" s="6">
        <f>VALUE(2174.25)</f>
        <v>2174.25</v>
      </c>
      <c r="F1149" s="5" t="s">
        <v>10</v>
      </c>
    </row>
    <row r="1150" spans="1:6" ht="29">
      <c r="A1150" s="1" t="s">
        <v>3449</v>
      </c>
      <c r="B1150" s="4" t="s">
        <v>3450</v>
      </c>
      <c r="C1150" s="3" t="s">
        <v>3451</v>
      </c>
      <c r="D1150" s="5" t="s">
        <v>8</v>
      </c>
      <c r="E1150" s="6">
        <f>VALUE(724.75)</f>
        <v>724.75</v>
      </c>
      <c r="F1150" s="5" t="s">
        <v>10</v>
      </c>
    </row>
    <row r="1151" spans="1:6" ht="43.5">
      <c r="A1151" s="1" t="s">
        <v>3452</v>
      </c>
      <c r="B1151" s="4" t="s">
        <v>3453</v>
      </c>
      <c r="C1151" s="3" t="s">
        <v>3454</v>
      </c>
      <c r="D1151" s="5" t="s">
        <v>8</v>
      </c>
      <c r="E1151" s="6">
        <f>VALUE(1650)</f>
        <v>1650</v>
      </c>
      <c r="F1151" s="5" t="s">
        <v>10</v>
      </c>
    </row>
    <row r="1152" spans="1:6" ht="43.5">
      <c r="A1152" s="1" t="s">
        <v>3455</v>
      </c>
      <c r="B1152" s="4" t="s">
        <v>3456</v>
      </c>
      <c r="C1152" s="3" t="s">
        <v>3457</v>
      </c>
      <c r="D1152" s="5" t="s">
        <v>8</v>
      </c>
      <c r="E1152" s="6">
        <f>VALUE(2200)</f>
        <v>2200</v>
      </c>
      <c r="F1152" s="5" t="s">
        <v>10</v>
      </c>
    </row>
    <row r="1153" spans="1:6" ht="43.5">
      <c r="A1153" s="1" t="s">
        <v>3458</v>
      </c>
      <c r="B1153" s="4" t="s">
        <v>3459</v>
      </c>
      <c r="C1153" s="3" t="s">
        <v>3460</v>
      </c>
      <c r="D1153" s="5" t="s">
        <v>8</v>
      </c>
      <c r="E1153" s="6">
        <f>VALUE(1650)</f>
        <v>1650</v>
      </c>
      <c r="F1153" s="5" t="s">
        <v>10</v>
      </c>
    </row>
    <row r="1154" spans="1:6" ht="29">
      <c r="A1154" s="1" t="s">
        <v>3461</v>
      </c>
      <c r="B1154" s="4" t="s">
        <v>3462</v>
      </c>
      <c r="C1154" s="3" t="s">
        <v>3463</v>
      </c>
      <c r="D1154" s="5" t="s">
        <v>8</v>
      </c>
      <c r="E1154" s="6">
        <f>VALUE(550)</f>
        <v>550</v>
      </c>
      <c r="F1154" s="5" t="s">
        <v>10</v>
      </c>
    </row>
    <row r="1155" spans="1:6" ht="43.5">
      <c r="A1155" s="1" t="s">
        <v>3464</v>
      </c>
      <c r="B1155" s="4" t="s">
        <v>3465</v>
      </c>
      <c r="C1155" s="3" t="s">
        <v>3466</v>
      </c>
      <c r="D1155" s="5" t="s">
        <v>8</v>
      </c>
      <c r="E1155" s="6">
        <f>VALUE(1650)</f>
        <v>1650</v>
      </c>
      <c r="F1155" s="5" t="s">
        <v>10</v>
      </c>
    </row>
    <row r="1156" spans="1:6" ht="43.5">
      <c r="A1156" s="1" t="s">
        <v>3467</v>
      </c>
      <c r="B1156" s="4" t="s">
        <v>3468</v>
      </c>
      <c r="C1156" s="3" t="s">
        <v>3469</v>
      </c>
      <c r="D1156" s="5" t="s">
        <v>8</v>
      </c>
      <c r="E1156" s="6">
        <f>VALUE(2200)</f>
        <v>2200</v>
      </c>
      <c r="F1156" s="5" t="s">
        <v>10</v>
      </c>
    </row>
    <row r="1157" spans="1:6" ht="43.5">
      <c r="A1157" s="1" t="s">
        <v>3470</v>
      </c>
      <c r="B1157" s="4" t="s">
        <v>3471</v>
      </c>
      <c r="C1157" s="3" t="s">
        <v>3472</v>
      </c>
      <c r="D1157" s="5" t="s">
        <v>8</v>
      </c>
      <c r="E1157" s="6">
        <f>VALUE(1650)</f>
        <v>1650</v>
      </c>
      <c r="F1157" s="5" t="s">
        <v>10</v>
      </c>
    </row>
    <row r="1158" spans="1:6" ht="29">
      <c r="A1158" s="1" t="s">
        <v>3473</v>
      </c>
      <c r="B1158" s="4" t="s">
        <v>3474</v>
      </c>
      <c r="C1158" s="3" t="s">
        <v>3475</v>
      </c>
      <c r="D1158" s="5" t="s">
        <v>8</v>
      </c>
      <c r="E1158" s="6">
        <f>VALUE(550)</f>
        <v>550</v>
      </c>
      <c r="F1158" s="5" t="s">
        <v>10</v>
      </c>
    </row>
    <row r="1159" spans="1:6" ht="43.5">
      <c r="A1159" s="1" t="s">
        <v>3476</v>
      </c>
      <c r="B1159" s="4" t="s">
        <v>3477</v>
      </c>
      <c r="C1159" s="3" t="s">
        <v>3478</v>
      </c>
      <c r="D1159" s="5" t="s">
        <v>8</v>
      </c>
      <c r="E1159" s="6">
        <f>VALUE(1650)</f>
        <v>1650</v>
      </c>
      <c r="F1159" s="5" t="s">
        <v>10</v>
      </c>
    </row>
    <row r="1160" spans="1:6" ht="43.5">
      <c r="A1160" s="1" t="s">
        <v>3479</v>
      </c>
      <c r="B1160" s="4" t="s">
        <v>3480</v>
      </c>
      <c r="C1160" s="3" t="s">
        <v>3481</v>
      </c>
      <c r="D1160" s="5" t="s">
        <v>8</v>
      </c>
      <c r="E1160" s="6">
        <f>VALUE(2200)</f>
        <v>2200</v>
      </c>
      <c r="F1160" s="5" t="s">
        <v>10</v>
      </c>
    </row>
    <row r="1161" spans="1:6" ht="43.5">
      <c r="A1161" s="1" t="s">
        <v>3482</v>
      </c>
      <c r="B1161" s="4" t="s">
        <v>3483</v>
      </c>
      <c r="C1161" s="3" t="s">
        <v>3484</v>
      </c>
      <c r="D1161" s="5" t="s">
        <v>8</v>
      </c>
      <c r="E1161" s="6">
        <f>VALUE(1650)</f>
        <v>1650</v>
      </c>
      <c r="F1161" s="5" t="s">
        <v>10</v>
      </c>
    </row>
    <row r="1162" spans="1:6" ht="29">
      <c r="A1162" s="1" t="s">
        <v>3485</v>
      </c>
      <c r="B1162" s="4" t="s">
        <v>3486</v>
      </c>
      <c r="C1162" s="3" t="s">
        <v>3487</v>
      </c>
      <c r="D1162" s="5" t="s">
        <v>8</v>
      </c>
      <c r="E1162" s="6">
        <f>VALUE(550)</f>
        <v>550</v>
      </c>
      <c r="F1162" s="5" t="s">
        <v>10</v>
      </c>
    </row>
    <row r="1163" spans="1:6" ht="43.5">
      <c r="A1163" s="1" t="s">
        <v>3488</v>
      </c>
      <c r="B1163" s="4" t="s">
        <v>3489</v>
      </c>
      <c r="C1163" s="3" t="s">
        <v>3490</v>
      </c>
      <c r="D1163" s="5" t="s">
        <v>8</v>
      </c>
      <c r="E1163" s="6">
        <f>VALUE(1650)</f>
        <v>1650</v>
      </c>
      <c r="F1163" s="5" t="s">
        <v>10</v>
      </c>
    </row>
    <row r="1164" spans="1:6" ht="43.5">
      <c r="A1164" s="1" t="s">
        <v>3491</v>
      </c>
      <c r="B1164" s="4" t="s">
        <v>3492</v>
      </c>
      <c r="C1164" s="3" t="s">
        <v>3493</v>
      </c>
      <c r="D1164" s="5" t="s">
        <v>8</v>
      </c>
      <c r="E1164" s="6">
        <f>VALUE(2200)</f>
        <v>2200</v>
      </c>
      <c r="F1164" s="5" t="s">
        <v>10</v>
      </c>
    </row>
    <row r="1165" spans="1:6" ht="43.5">
      <c r="A1165" s="1" t="s">
        <v>3494</v>
      </c>
      <c r="B1165" s="4" t="s">
        <v>3495</v>
      </c>
      <c r="C1165" s="3" t="s">
        <v>3496</v>
      </c>
      <c r="D1165" s="5" t="s">
        <v>8</v>
      </c>
      <c r="E1165" s="6">
        <f>VALUE(1650)</f>
        <v>1650</v>
      </c>
      <c r="F1165" s="5" t="s">
        <v>10</v>
      </c>
    </row>
    <row r="1166" spans="1:6" ht="29">
      <c r="A1166" s="1" t="s">
        <v>3497</v>
      </c>
      <c r="B1166" s="4" t="s">
        <v>3498</v>
      </c>
      <c r="C1166" s="3" t="s">
        <v>3499</v>
      </c>
      <c r="D1166" s="5" t="s">
        <v>8</v>
      </c>
      <c r="E1166" s="6">
        <f>VALUE(550)</f>
        <v>550</v>
      </c>
      <c r="F1166" s="5" t="s">
        <v>10</v>
      </c>
    </row>
    <row r="1167" spans="1:6" ht="43.5">
      <c r="A1167" s="1" t="s">
        <v>3500</v>
      </c>
      <c r="B1167" s="4" t="s">
        <v>3501</v>
      </c>
      <c r="C1167" s="3" t="s">
        <v>3502</v>
      </c>
      <c r="D1167" s="5" t="s">
        <v>8</v>
      </c>
      <c r="E1167" s="6">
        <f>VALUE(3749.25)</f>
        <v>3749.25</v>
      </c>
      <c r="F1167" s="5" t="s">
        <v>10</v>
      </c>
    </row>
    <row r="1168" spans="1:6" ht="29">
      <c r="A1168" s="1" t="s">
        <v>3503</v>
      </c>
      <c r="B1168" s="4" t="s">
        <v>3504</v>
      </c>
      <c r="C1168" s="3" t="s">
        <v>3505</v>
      </c>
      <c r="D1168" s="5" t="s">
        <v>8</v>
      </c>
      <c r="E1168" s="6">
        <f>VALUE(4999)</f>
        <v>4999</v>
      </c>
      <c r="F1168" s="5" t="s">
        <v>10</v>
      </c>
    </row>
    <row r="1169" spans="1:6" ht="29">
      <c r="A1169" s="1" t="s">
        <v>3506</v>
      </c>
      <c r="B1169" s="4" t="s">
        <v>3507</v>
      </c>
      <c r="C1169" s="3" t="s">
        <v>3508</v>
      </c>
      <c r="D1169" s="5" t="s">
        <v>8</v>
      </c>
      <c r="E1169" s="6">
        <f>VALUE(3749.25)</f>
        <v>3749.25</v>
      </c>
      <c r="F1169" s="5" t="s">
        <v>10</v>
      </c>
    </row>
    <row r="1170" spans="1:6" ht="29">
      <c r="A1170" s="1" t="s">
        <v>3509</v>
      </c>
      <c r="B1170" s="4" t="s">
        <v>3510</v>
      </c>
      <c r="C1170" s="3" t="s">
        <v>3511</v>
      </c>
      <c r="D1170" s="5" t="s">
        <v>8</v>
      </c>
      <c r="E1170" s="6">
        <f>VALUE(1249.75)</f>
        <v>1249.75</v>
      </c>
      <c r="F1170" s="5" t="s">
        <v>10</v>
      </c>
    </row>
    <row r="1171" spans="1:6" ht="43.5">
      <c r="A1171" s="1" t="s">
        <v>3512</v>
      </c>
      <c r="B1171" s="4" t="s">
        <v>3513</v>
      </c>
      <c r="C1171" s="3" t="s">
        <v>3514</v>
      </c>
      <c r="D1171" s="5" t="s">
        <v>8</v>
      </c>
      <c r="E1171" s="6">
        <f>VALUE(3749.25)</f>
        <v>3749.25</v>
      </c>
      <c r="F1171" s="5" t="s">
        <v>10</v>
      </c>
    </row>
    <row r="1172" spans="1:6" ht="43.5">
      <c r="A1172" s="1" t="s">
        <v>3515</v>
      </c>
      <c r="B1172" s="4" t="s">
        <v>3516</v>
      </c>
      <c r="C1172" s="3" t="s">
        <v>3517</v>
      </c>
      <c r="D1172" s="5" t="s">
        <v>8</v>
      </c>
      <c r="E1172" s="6">
        <f>VALUE(4999)</f>
        <v>4999</v>
      </c>
      <c r="F1172" s="5" t="s">
        <v>10</v>
      </c>
    </row>
    <row r="1173" spans="1:6" ht="43.5">
      <c r="A1173" s="1" t="s">
        <v>3518</v>
      </c>
      <c r="B1173" s="4" t="s">
        <v>3519</v>
      </c>
      <c r="C1173" s="3" t="s">
        <v>3520</v>
      </c>
      <c r="D1173" s="5" t="s">
        <v>8</v>
      </c>
      <c r="E1173" s="6">
        <f>VALUE(3749.25)</f>
        <v>3749.25</v>
      </c>
      <c r="F1173" s="5" t="s">
        <v>10</v>
      </c>
    </row>
    <row r="1174" spans="1:6" ht="29">
      <c r="A1174" s="1" t="s">
        <v>3521</v>
      </c>
      <c r="B1174" s="4" t="s">
        <v>3522</v>
      </c>
      <c r="C1174" s="3" t="s">
        <v>3523</v>
      </c>
      <c r="D1174" s="5" t="s">
        <v>8</v>
      </c>
      <c r="E1174" s="6">
        <f>VALUE(1249.75)</f>
        <v>1249.75</v>
      </c>
      <c r="F1174" s="5" t="s">
        <v>10</v>
      </c>
    </row>
    <row r="1175" spans="1:6" ht="43.5">
      <c r="A1175" s="1" t="s">
        <v>3524</v>
      </c>
      <c r="B1175" s="4" t="s">
        <v>3525</v>
      </c>
      <c r="C1175" s="3" t="s">
        <v>3526</v>
      </c>
      <c r="D1175" s="5" t="s">
        <v>8</v>
      </c>
      <c r="E1175" s="6">
        <f>VALUE(749.25)</f>
        <v>749.25</v>
      </c>
      <c r="F1175" s="5" t="s">
        <v>10</v>
      </c>
    </row>
    <row r="1176" spans="1:6" ht="29">
      <c r="A1176" s="1" t="s">
        <v>3527</v>
      </c>
      <c r="B1176" s="4" t="s">
        <v>3528</v>
      </c>
      <c r="C1176" s="3" t="s">
        <v>3529</v>
      </c>
      <c r="D1176" s="5" t="s">
        <v>8</v>
      </c>
      <c r="E1176" s="6">
        <f>VALUE(999)</f>
        <v>999</v>
      </c>
      <c r="F1176" s="5" t="s">
        <v>10</v>
      </c>
    </row>
    <row r="1177" spans="1:6" ht="29">
      <c r="A1177" s="1" t="s">
        <v>3530</v>
      </c>
      <c r="B1177" s="4" t="s">
        <v>3531</v>
      </c>
      <c r="C1177" s="3" t="s">
        <v>3532</v>
      </c>
      <c r="D1177" s="5" t="s">
        <v>8</v>
      </c>
      <c r="E1177" s="6">
        <f>VALUE(749.25)</f>
        <v>749.25</v>
      </c>
      <c r="F1177" s="5" t="s">
        <v>10</v>
      </c>
    </row>
    <row r="1178" spans="1:6" ht="29">
      <c r="A1178" s="1" t="s">
        <v>3533</v>
      </c>
      <c r="B1178" s="4" t="s">
        <v>3534</v>
      </c>
      <c r="C1178" s="3" t="s">
        <v>3535</v>
      </c>
      <c r="D1178" s="5" t="s">
        <v>8</v>
      </c>
      <c r="E1178" s="6">
        <f>VALUE(249.75)</f>
        <v>249.75</v>
      </c>
      <c r="F1178" s="5" t="s">
        <v>10</v>
      </c>
    </row>
    <row r="1179" spans="1:6" ht="29">
      <c r="A1179" s="1" t="s">
        <v>3536</v>
      </c>
      <c r="B1179" s="4" t="s">
        <v>3537</v>
      </c>
      <c r="C1179" s="3" t="s">
        <v>3538</v>
      </c>
      <c r="D1179" s="5" t="s">
        <v>8</v>
      </c>
      <c r="E1179" s="6">
        <f>VALUE(599.25)</f>
        <v>599.25</v>
      </c>
      <c r="F1179" s="5" t="s">
        <v>10</v>
      </c>
    </row>
    <row r="1180" spans="1:6" ht="29">
      <c r="A1180" s="1" t="s">
        <v>3539</v>
      </c>
      <c r="B1180" s="4" t="s">
        <v>3540</v>
      </c>
      <c r="C1180" s="3" t="s">
        <v>3541</v>
      </c>
      <c r="D1180" s="5" t="s">
        <v>8</v>
      </c>
      <c r="E1180" s="6">
        <f>VALUE(799)</f>
        <v>799</v>
      </c>
      <c r="F1180" s="5" t="s">
        <v>10</v>
      </c>
    </row>
    <row r="1181" spans="1:6" ht="29">
      <c r="A1181" s="1" t="s">
        <v>3542</v>
      </c>
      <c r="B1181" s="4" t="s">
        <v>3543</v>
      </c>
      <c r="C1181" s="3" t="s">
        <v>3544</v>
      </c>
      <c r="D1181" s="5" t="s">
        <v>8</v>
      </c>
      <c r="E1181" s="6">
        <f>VALUE(599.25)</f>
        <v>599.25</v>
      </c>
      <c r="F1181" s="5" t="s">
        <v>10</v>
      </c>
    </row>
    <row r="1182" spans="1:6" ht="29">
      <c r="A1182" s="1" t="s">
        <v>3545</v>
      </c>
      <c r="B1182" s="4" t="s">
        <v>3546</v>
      </c>
      <c r="C1182" s="3" t="s">
        <v>3547</v>
      </c>
      <c r="D1182" s="5" t="s">
        <v>8</v>
      </c>
      <c r="E1182" s="6">
        <f>VALUE(199.75)</f>
        <v>199.75</v>
      </c>
      <c r="F1182" s="5" t="s">
        <v>10</v>
      </c>
    </row>
    <row r="1183" spans="1:6" ht="29">
      <c r="A1183" s="1" t="s">
        <v>3548</v>
      </c>
      <c r="B1183" s="4" t="s">
        <v>3549</v>
      </c>
      <c r="C1183" s="3" t="s">
        <v>3550</v>
      </c>
      <c r="D1183" s="5" t="s">
        <v>8</v>
      </c>
      <c r="E1183" s="6">
        <f>VALUE(1699)</f>
        <v>1699</v>
      </c>
      <c r="F1183" s="5" t="s">
        <v>10</v>
      </c>
    </row>
    <row r="1184" spans="1:6" ht="43.5">
      <c r="A1184" s="1" t="s">
        <v>3551</v>
      </c>
      <c r="B1184" s="4" t="s">
        <v>3552</v>
      </c>
      <c r="C1184" s="3" t="s">
        <v>3553</v>
      </c>
      <c r="D1184" s="5" t="s">
        <v>8</v>
      </c>
      <c r="E1184" s="6">
        <f>VALUE(4949.25)</f>
        <v>4949.25</v>
      </c>
      <c r="F1184" s="5" t="s">
        <v>10</v>
      </c>
    </row>
    <row r="1185" spans="1:6" ht="43.5">
      <c r="A1185" s="1" t="s">
        <v>3554</v>
      </c>
      <c r="B1185" s="4" t="s">
        <v>3555</v>
      </c>
      <c r="C1185" s="3" t="s">
        <v>3556</v>
      </c>
      <c r="D1185" s="5" t="s">
        <v>8</v>
      </c>
      <c r="E1185" s="6">
        <f>VALUE(6599)</f>
        <v>6599</v>
      </c>
      <c r="F1185" s="5" t="s">
        <v>10</v>
      </c>
    </row>
    <row r="1186" spans="1:6" ht="43.5">
      <c r="A1186" s="1" t="s">
        <v>3557</v>
      </c>
      <c r="B1186" s="4" t="s">
        <v>3558</v>
      </c>
      <c r="C1186" s="3" t="s">
        <v>3559</v>
      </c>
      <c r="D1186" s="5" t="s">
        <v>8</v>
      </c>
      <c r="E1186" s="6">
        <f>VALUE(4949.25)</f>
        <v>4949.25</v>
      </c>
      <c r="F1186" s="5" t="s">
        <v>10</v>
      </c>
    </row>
    <row r="1187" spans="1:6" ht="29">
      <c r="A1187" s="1" t="s">
        <v>3560</v>
      </c>
      <c r="B1187" s="4" t="s">
        <v>3561</v>
      </c>
      <c r="C1187" s="3" t="s">
        <v>3562</v>
      </c>
      <c r="D1187" s="5" t="s">
        <v>8</v>
      </c>
      <c r="E1187" s="6">
        <f>VALUE(1649.75)</f>
        <v>1649.75</v>
      </c>
      <c r="F1187" s="5" t="s">
        <v>10</v>
      </c>
    </row>
    <row r="1188" spans="1:6" ht="43.5">
      <c r="A1188" s="1" t="s">
        <v>3563</v>
      </c>
      <c r="B1188" s="4" t="s">
        <v>3564</v>
      </c>
      <c r="C1188" s="3" t="s">
        <v>3565</v>
      </c>
      <c r="D1188" s="5" t="s">
        <v>8</v>
      </c>
      <c r="E1188" s="6">
        <f>VALUE(2249.25)</f>
        <v>2249.25</v>
      </c>
      <c r="F1188" s="5" t="s">
        <v>10</v>
      </c>
    </row>
    <row r="1189" spans="1:6" ht="29">
      <c r="A1189" s="1" t="s">
        <v>3566</v>
      </c>
      <c r="B1189" s="4" t="s">
        <v>3567</v>
      </c>
      <c r="C1189" s="3" t="s">
        <v>3568</v>
      </c>
      <c r="D1189" s="5" t="s">
        <v>8</v>
      </c>
      <c r="E1189" s="6">
        <f>VALUE(2999)</f>
        <v>2999</v>
      </c>
      <c r="F1189" s="5" t="s">
        <v>10</v>
      </c>
    </row>
    <row r="1190" spans="1:6" ht="29">
      <c r="A1190" s="1" t="s">
        <v>3569</v>
      </c>
      <c r="B1190" s="4" t="s">
        <v>3570</v>
      </c>
      <c r="C1190" s="3" t="s">
        <v>3571</v>
      </c>
      <c r="D1190" s="5" t="s">
        <v>8</v>
      </c>
      <c r="E1190" s="6">
        <f>VALUE(2249.25)</f>
        <v>2249.25</v>
      </c>
      <c r="F1190" s="5" t="s">
        <v>10</v>
      </c>
    </row>
    <row r="1191" spans="1:6" ht="29">
      <c r="A1191" s="1" t="s">
        <v>3572</v>
      </c>
      <c r="B1191" s="4" t="s">
        <v>3573</v>
      </c>
      <c r="C1191" s="3" t="s">
        <v>3574</v>
      </c>
      <c r="D1191" s="5" t="s">
        <v>8</v>
      </c>
      <c r="E1191" s="6">
        <f>VALUE(749.75)</f>
        <v>749.75</v>
      </c>
      <c r="F1191" s="5" t="s">
        <v>10</v>
      </c>
    </row>
    <row r="1192" spans="1:6" ht="43.5">
      <c r="A1192" s="1" t="s">
        <v>3575</v>
      </c>
      <c r="B1192" s="4" t="s">
        <v>3576</v>
      </c>
      <c r="C1192" s="3" t="s">
        <v>3577</v>
      </c>
      <c r="D1192" s="5" t="s">
        <v>8</v>
      </c>
      <c r="E1192" s="6">
        <f>VALUE(3749.25)</f>
        <v>3749.25</v>
      </c>
      <c r="F1192" s="5" t="s">
        <v>10</v>
      </c>
    </row>
    <row r="1193" spans="1:6" ht="29">
      <c r="A1193" s="1" t="s">
        <v>3578</v>
      </c>
      <c r="B1193" s="4" t="s">
        <v>3579</v>
      </c>
      <c r="C1193" s="3" t="s">
        <v>3580</v>
      </c>
      <c r="D1193" s="5" t="s">
        <v>8</v>
      </c>
      <c r="E1193" s="6">
        <f>VALUE(4999)</f>
        <v>4999</v>
      </c>
      <c r="F1193" s="5" t="s">
        <v>10</v>
      </c>
    </row>
    <row r="1194" spans="1:6" ht="29">
      <c r="A1194" s="1" t="s">
        <v>3581</v>
      </c>
      <c r="B1194" s="4" t="s">
        <v>3582</v>
      </c>
      <c r="C1194" s="3" t="s">
        <v>3583</v>
      </c>
      <c r="D1194" s="5" t="s">
        <v>8</v>
      </c>
      <c r="E1194" s="6">
        <f>VALUE(3749.25)</f>
        <v>3749.25</v>
      </c>
      <c r="F1194" s="5" t="s">
        <v>10</v>
      </c>
    </row>
    <row r="1195" spans="1:6" ht="29">
      <c r="A1195" s="1" t="s">
        <v>3584</v>
      </c>
      <c r="B1195" s="4" t="s">
        <v>3585</v>
      </c>
      <c r="C1195" s="3" t="s">
        <v>3586</v>
      </c>
      <c r="D1195" s="5" t="s">
        <v>8</v>
      </c>
      <c r="E1195" s="6">
        <f>VALUE(1249.75)</f>
        <v>1249.75</v>
      </c>
      <c r="F1195" s="5" t="s">
        <v>10</v>
      </c>
    </row>
    <row r="1196" spans="1:6" ht="29">
      <c r="A1196" s="1" t="s">
        <v>3587</v>
      </c>
      <c r="B1196" s="4" t="s">
        <v>3588</v>
      </c>
      <c r="C1196" s="3" t="s">
        <v>3589</v>
      </c>
      <c r="D1196" s="5" t="s">
        <v>8</v>
      </c>
      <c r="E1196" s="6">
        <f>VALUE(29999.25)</f>
        <v>29999.25</v>
      </c>
      <c r="F1196" s="5" t="s">
        <v>10</v>
      </c>
    </row>
    <row r="1197" spans="1:6" ht="29">
      <c r="A1197" s="1" t="s">
        <v>3590</v>
      </c>
      <c r="B1197" s="4" t="s">
        <v>3591</v>
      </c>
      <c r="C1197" s="3" t="s">
        <v>3592</v>
      </c>
      <c r="D1197" s="5" t="s">
        <v>8</v>
      </c>
      <c r="E1197" s="6">
        <f>VALUE(39999)</f>
        <v>39999</v>
      </c>
      <c r="F1197" s="5" t="s">
        <v>10</v>
      </c>
    </row>
    <row r="1198" spans="1:6" ht="29">
      <c r="A1198" s="1" t="s">
        <v>3593</v>
      </c>
      <c r="B1198" s="4" t="s">
        <v>3594</v>
      </c>
      <c r="C1198" s="3" t="s">
        <v>3595</v>
      </c>
      <c r="D1198" s="5" t="s">
        <v>8</v>
      </c>
      <c r="E1198" s="6">
        <f>VALUE(29999.25)</f>
        <v>29999.25</v>
      </c>
      <c r="F1198" s="5" t="s">
        <v>10</v>
      </c>
    </row>
    <row r="1199" spans="1:6" ht="29">
      <c r="A1199" s="1" t="s">
        <v>3596</v>
      </c>
      <c r="B1199" s="4" t="s">
        <v>3597</v>
      </c>
      <c r="C1199" s="3" t="s">
        <v>3598</v>
      </c>
      <c r="D1199" s="5" t="s">
        <v>8</v>
      </c>
      <c r="E1199" s="6">
        <f>VALUE(9999.75)</f>
        <v>9999.75</v>
      </c>
      <c r="F1199" s="5" t="s">
        <v>10</v>
      </c>
    </row>
    <row r="1200" spans="1:6" ht="43.5">
      <c r="A1200" s="1" t="s">
        <v>3599</v>
      </c>
      <c r="B1200" s="4" t="s">
        <v>3600</v>
      </c>
      <c r="C1200" s="3" t="s">
        <v>3601</v>
      </c>
      <c r="D1200" s="5" t="s">
        <v>8</v>
      </c>
      <c r="E1200" s="6">
        <f>VALUE(1499.25)</f>
        <v>1499.25</v>
      </c>
      <c r="F1200" s="5" t="s">
        <v>10</v>
      </c>
    </row>
    <row r="1201" spans="1:6" ht="43.5">
      <c r="A1201" s="1" t="s">
        <v>3602</v>
      </c>
      <c r="B1201" s="4" t="s">
        <v>3603</v>
      </c>
      <c r="C1201" s="3" t="s">
        <v>3604</v>
      </c>
      <c r="D1201" s="5" t="s">
        <v>8</v>
      </c>
      <c r="E1201" s="6">
        <f>VALUE(1999)</f>
        <v>1999</v>
      </c>
      <c r="F1201" s="5" t="s">
        <v>10</v>
      </c>
    </row>
    <row r="1202" spans="1:6" ht="29">
      <c r="A1202" s="1" t="s">
        <v>3605</v>
      </c>
      <c r="B1202" s="4" t="s">
        <v>3606</v>
      </c>
      <c r="C1202" s="3" t="s">
        <v>3607</v>
      </c>
      <c r="D1202" s="5" t="s">
        <v>8</v>
      </c>
      <c r="E1202" s="6">
        <f>VALUE(1499.25)</f>
        <v>1499.25</v>
      </c>
      <c r="F1202" s="5" t="s">
        <v>10</v>
      </c>
    </row>
    <row r="1203" spans="1:6" ht="29">
      <c r="A1203" s="1" t="s">
        <v>3608</v>
      </c>
      <c r="B1203" s="4" t="s">
        <v>3609</v>
      </c>
      <c r="C1203" s="3" t="s">
        <v>3610</v>
      </c>
      <c r="D1203" s="5" t="s">
        <v>8</v>
      </c>
      <c r="E1203" s="6">
        <f>VALUE(499.75)</f>
        <v>499.75</v>
      </c>
      <c r="F1203" s="5" t="s">
        <v>10</v>
      </c>
    </row>
    <row r="1204" spans="1:6" ht="43.5">
      <c r="A1204" s="1" t="s">
        <v>3611</v>
      </c>
      <c r="B1204" s="4" t="s">
        <v>3612</v>
      </c>
      <c r="C1204" s="3" t="s">
        <v>3613</v>
      </c>
      <c r="D1204" s="5" t="s">
        <v>8</v>
      </c>
      <c r="E1204" s="6">
        <f>VALUE(2999.25)</f>
        <v>2999.25</v>
      </c>
      <c r="F1204" s="5" t="s">
        <v>10</v>
      </c>
    </row>
    <row r="1205" spans="1:6" ht="43.5">
      <c r="A1205" s="1" t="s">
        <v>3614</v>
      </c>
      <c r="B1205" s="4" t="s">
        <v>3615</v>
      </c>
      <c r="C1205" s="3" t="s">
        <v>3616</v>
      </c>
      <c r="D1205" s="5" t="s">
        <v>8</v>
      </c>
      <c r="E1205" s="6">
        <f>VALUE(3999)</f>
        <v>3999</v>
      </c>
      <c r="F1205" s="5" t="s">
        <v>10</v>
      </c>
    </row>
    <row r="1206" spans="1:6" ht="29">
      <c r="A1206" s="1" t="s">
        <v>3617</v>
      </c>
      <c r="B1206" s="4" t="s">
        <v>3618</v>
      </c>
      <c r="C1206" s="3" t="s">
        <v>3619</v>
      </c>
      <c r="D1206" s="5" t="s">
        <v>8</v>
      </c>
      <c r="E1206" s="6">
        <f>VALUE(2999.25)</f>
        <v>2999.25</v>
      </c>
      <c r="F1206" s="5" t="s">
        <v>10</v>
      </c>
    </row>
    <row r="1207" spans="1:6" ht="29">
      <c r="A1207" s="1" t="s">
        <v>3620</v>
      </c>
      <c r="B1207" s="4" t="s">
        <v>3621</v>
      </c>
      <c r="C1207" s="3" t="s">
        <v>3622</v>
      </c>
      <c r="D1207" s="5" t="s">
        <v>8</v>
      </c>
      <c r="E1207" s="6">
        <f>VALUE(999.75)</f>
        <v>999.75</v>
      </c>
      <c r="F1207" s="5" t="s">
        <v>10</v>
      </c>
    </row>
    <row r="1208" spans="1:6" ht="43.5">
      <c r="A1208" s="1" t="s">
        <v>3623</v>
      </c>
      <c r="B1208" s="4" t="s">
        <v>3624</v>
      </c>
      <c r="C1208" s="3" t="s">
        <v>3625</v>
      </c>
      <c r="D1208" s="5" t="s">
        <v>8</v>
      </c>
      <c r="E1208" s="6">
        <f>VALUE(8999.25)</f>
        <v>8999.25</v>
      </c>
      <c r="F1208" s="5" t="s">
        <v>10</v>
      </c>
    </row>
    <row r="1209" spans="1:6" ht="43.5">
      <c r="A1209" s="1" t="s">
        <v>3626</v>
      </c>
      <c r="B1209" s="4" t="s">
        <v>3627</v>
      </c>
      <c r="C1209" s="3" t="s">
        <v>3628</v>
      </c>
      <c r="D1209" s="5" t="s">
        <v>8</v>
      </c>
      <c r="E1209" s="6">
        <f>VALUE(11999)</f>
        <v>11999</v>
      </c>
      <c r="F1209" s="5" t="s">
        <v>10</v>
      </c>
    </row>
    <row r="1210" spans="1:6" ht="43.5">
      <c r="A1210" s="1" t="s">
        <v>3629</v>
      </c>
      <c r="B1210" s="4" t="s">
        <v>3630</v>
      </c>
      <c r="C1210" s="3" t="s">
        <v>3631</v>
      </c>
      <c r="D1210" s="5" t="s">
        <v>8</v>
      </c>
      <c r="E1210" s="6">
        <f>VALUE(8999.25)</f>
        <v>8999.25</v>
      </c>
      <c r="F1210" s="5" t="s">
        <v>10</v>
      </c>
    </row>
    <row r="1211" spans="1:6" ht="29">
      <c r="A1211" s="1" t="s">
        <v>3632</v>
      </c>
      <c r="B1211" s="4" t="s">
        <v>3633</v>
      </c>
      <c r="C1211" s="3" t="s">
        <v>3634</v>
      </c>
      <c r="D1211" s="5" t="s">
        <v>8</v>
      </c>
      <c r="E1211" s="6">
        <f>VALUE(2999.75)</f>
        <v>2999.75</v>
      </c>
      <c r="F1211" s="5" t="s">
        <v>10</v>
      </c>
    </row>
    <row r="1212" spans="1:6" ht="43.5">
      <c r="A1212" s="1" t="s">
        <v>3635</v>
      </c>
      <c r="B1212" s="4" t="s">
        <v>3636</v>
      </c>
      <c r="C1212" s="3" t="s">
        <v>3637</v>
      </c>
      <c r="D1212" s="5" t="s">
        <v>8</v>
      </c>
      <c r="E1212" s="6">
        <f>VALUE(1499.25)</f>
        <v>1499.25</v>
      </c>
      <c r="F1212" s="5" t="s">
        <v>10</v>
      </c>
    </row>
    <row r="1213" spans="1:6" ht="43.5">
      <c r="A1213" s="1" t="s">
        <v>3638</v>
      </c>
      <c r="B1213" s="4" t="s">
        <v>3639</v>
      </c>
      <c r="C1213" s="3" t="s">
        <v>3640</v>
      </c>
      <c r="D1213" s="5" t="s">
        <v>8</v>
      </c>
      <c r="E1213" s="6">
        <f>VALUE(1999)</f>
        <v>1999</v>
      </c>
      <c r="F1213" s="5" t="s">
        <v>10</v>
      </c>
    </row>
    <row r="1214" spans="1:6" ht="43.5">
      <c r="A1214" s="1" t="s">
        <v>3641</v>
      </c>
      <c r="B1214" s="4" t="s">
        <v>3642</v>
      </c>
      <c r="C1214" s="3" t="s">
        <v>3643</v>
      </c>
      <c r="D1214" s="5" t="s">
        <v>8</v>
      </c>
      <c r="E1214" s="6">
        <f>VALUE(1499.25)</f>
        <v>1499.25</v>
      </c>
      <c r="F1214" s="5" t="s">
        <v>10</v>
      </c>
    </row>
    <row r="1215" spans="1:6" ht="29">
      <c r="A1215" s="1" t="s">
        <v>3644</v>
      </c>
      <c r="B1215" s="4" t="s">
        <v>3645</v>
      </c>
      <c r="C1215" s="3" t="s">
        <v>3646</v>
      </c>
      <c r="D1215" s="5" t="s">
        <v>8</v>
      </c>
      <c r="E1215" s="6">
        <f>VALUE(499.75)</f>
        <v>499.75</v>
      </c>
      <c r="F1215" s="5" t="s">
        <v>10</v>
      </c>
    </row>
    <row r="1216" spans="1:6" ht="43.5">
      <c r="A1216" s="1" t="s">
        <v>3647</v>
      </c>
      <c r="B1216" s="4" t="s">
        <v>3648</v>
      </c>
      <c r="C1216" s="3" t="s">
        <v>3649</v>
      </c>
      <c r="D1216" s="5" t="s">
        <v>8</v>
      </c>
      <c r="E1216" s="6">
        <f>VALUE(18000)</f>
        <v>18000</v>
      </c>
      <c r="F1216" s="5" t="s">
        <v>10</v>
      </c>
    </row>
    <row r="1217" spans="1:6" ht="43.5">
      <c r="A1217" s="1" t="s">
        <v>3650</v>
      </c>
      <c r="B1217" s="4" t="s">
        <v>3651</v>
      </c>
      <c r="C1217" s="3" t="s">
        <v>3652</v>
      </c>
      <c r="D1217" s="5" t="s">
        <v>8</v>
      </c>
      <c r="E1217" s="6">
        <f>VALUE(18750)</f>
        <v>18750</v>
      </c>
      <c r="F1217" s="5" t="s">
        <v>10</v>
      </c>
    </row>
    <row r="1218" spans="1:6" ht="29">
      <c r="A1218" s="1" t="s">
        <v>3653</v>
      </c>
      <c r="B1218" s="4" t="s">
        <v>3654</v>
      </c>
      <c r="C1218" s="3" t="s">
        <v>3655</v>
      </c>
      <c r="D1218" s="5" t="s">
        <v>8</v>
      </c>
      <c r="E1218" s="6">
        <f>VALUE(1499.25)</f>
        <v>1499.25</v>
      </c>
      <c r="F1218" s="5" t="s">
        <v>10</v>
      </c>
    </row>
    <row r="1219" spans="1:6" ht="29">
      <c r="A1219" s="1" t="s">
        <v>3656</v>
      </c>
      <c r="B1219" s="4" t="s">
        <v>3657</v>
      </c>
      <c r="C1219" s="3" t="s">
        <v>3658</v>
      </c>
      <c r="D1219" s="5" t="s">
        <v>8</v>
      </c>
      <c r="E1219" s="6">
        <f>VALUE(1499.25)</f>
        <v>1499.25</v>
      </c>
      <c r="F1219" s="5" t="s">
        <v>10</v>
      </c>
    </row>
    <row r="1220" spans="1:6" ht="29">
      <c r="A1220" s="1" t="s">
        <v>3659</v>
      </c>
      <c r="B1220" s="4" t="s">
        <v>3660</v>
      </c>
      <c r="C1220" s="3" t="s">
        <v>3661</v>
      </c>
      <c r="D1220" s="5" t="s">
        <v>8</v>
      </c>
      <c r="E1220" s="6">
        <f>VALUE(1124.25)</f>
        <v>1124.25</v>
      </c>
      <c r="F1220" s="5" t="s">
        <v>10</v>
      </c>
    </row>
    <row r="1221" spans="1:6" ht="29">
      <c r="A1221" s="1" t="s">
        <v>3662</v>
      </c>
      <c r="B1221" s="4" t="s">
        <v>3663</v>
      </c>
      <c r="C1221" s="3" t="s">
        <v>3664</v>
      </c>
      <c r="D1221" s="5" t="s">
        <v>8</v>
      </c>
      <c r="E1221" s="6">
        <f>VALUE(749.25)</f>
        <v>749.25</v>
      </c>
      <c r="F1221" s="5" t="s">
        <v>10</v>
      </c>
    </row>
    <row r="1222" spans="1:6" ht="29">
      <c r="A1222" s="1" t="s">
        <v>3665</v>
      </c>
      <c r="B1222" s="4" t="s">
        <v>3666</v>
      </c>
      <c r="C1222" s="3" t="s">
        <v>3667</v>
      </c>
      <c r="D1222" s="5" t="s">
        <v>8</v>
      </c>
      <c r="E1222" s="6">
        <f>VALUE(1349.25)</f>
        <v>1349.25</v>
      </c>
      <c r="F1222" s="5" t="s">
        <v>10</v>
      </c>
    </row>
    <row r="1223" spans="1:6" ht="29">
      <c r="A1223" s="1" t="s">
        <v>3668</v>
      </c>
      <c r="B1223" s="4" t="s">
        <v>3669</v>
      </c>
      <c r="C1223" s="3" t="s">
        <v>3670</v>
      </c>
      <c r="D1223" s="5" t="s">
        <v>8</v>
      </c>
      <c r="E1223" s="6">
        <f>VALUE(4499.25)</f>
        <v>4499.25</v>
      </c>
      <c r="F1223" s="5" t="s">
        <v>10</v>
      </c>
    </row>
    <row r="1224" spans="1:6" ht="43.5">
      <c r="A1224" s="1" t="s">
        <v>3671</v>
      </c>
      <c r="B1224" s="4" t="s">
        <v>3672</v>
      </c>
      <c r="C1224" s="3" t="s">
        <v>3673</v>
      </c>
      <c r="D1224" s="5" t="s">
        <v>8</v>
      </c>
      <c r="E1224" s="6">
        <f>VALUE(4499.25)</f>
        <v>4499.25</v>
      </c>
      <c r="F1224" s="5" t="s">
        <v>10</v>
      </c>
    </row>
    <row r="1225" spans="1:6" ht="43.5">
      <c r="A1225" s="1" t="s">
        <v>3674</v>
      </c>
      <c r="B1225" s="4" t="s">
        <v>3675</v>
      </c>
      <c r="C1225" s="3" t="s">
        <v>3676</v>
      </c>
      <c r="D1225" s="5" t="s">
        <v>8</v>
      </c>
      <c r="E1225" s="6">
        <f>VALUE(1799.25)</f>
        <v>1799.25</v>
      </c>
      <c r="F1225" s="5" t="s">
        <v>10</v>
      </c>
    </row>
    <row r="1226" spans="1:6" ht="29">
      <c r="A1226" s="1" t="s">
        <v>3677</v>
      </c>
      <c r="B1226" s="4" t="s">
        <v>3678</v>
      </c>
      <c r="C1226" s="3" t="s">
        <v>3679</v>
      </c>
      <c r="D1226" s="5" t="s">
        <v>8</v>
      </c>
      <c r="E1226" s="6">
        <f>VALUE(6749.25)</f>
        <v>6749.25</v>
      </c>
      <c r="F1226" s="5" t="s">
        <v>10</v>
      </c>
    </row>
    <row r="1227" spans="1:6" ht="29">
      <c r="A1227" s="1" t="s">
        <v>3680</v>
      </c>
      <c r="B1227" s="4" t="s">
        <v>3681</v>
      </c>
      <c r="C1227" s="3" t="s">
        <v>3682</v>
      </c>
      <c r="D1227" s="5" t="s">
        <v>8</v>
      </c>
      <c r="E1227" s="6">
        <f>VALUE(7049.25)</f>
        <v>7049.25</v>
      </c>
      <c r="F1227" s="5" t="s">
        <v>10</v>
      </c>
    </row>
    <row r="1228" spans="1:6" ht="29">
      <c r="A1228" s="1" t="s">
        <v>3683</v>
      </c>
      <c r="B1228" s="4" t="s">
        <v>3684</v>
      </c>
      <c r="C1228" s="3" t="s">
        <v>3685</v>
      </c>
      <c r="D1228" s="5" t="s">
        <v>8</v>
      </c>
      <c r="E1228" s="6">
        <f>VALUE(8999.25)</f>
        <v>8999.25</v>
      </c>
      <c r="F1228" s="5" t="s">
        <v>10</v>
      </c>
    </row>
    <row r="1229" spans="1:6">
      <c r="A1229" s="1" t="s">
        <v>3686</v>
      </c>
      <c r="B1229" s="4" t="s">
        <v>3687</v>
      </c>
      <c r="C1229" s="3" t="s">
        <v>3688</v>
      </c>
      <c r="D1229" s="5" t="s">
        <v>8</v>
      </c>
      <c r="E1229" s="6">
        <f>VALUE(6749.25)</f>
        <v>6749.25</v>
      </c>
      <c r="F1229" s="5" t="s">
        <v>10</v>
      </c>
    </row>
    <row r="1230" spans="1:6" ht="43.5">
      <c r="A1230" s="1" t="s">
        <v>3689</v>
      </c>
      <c r="B1230" s="4" t="s">
        <v>3690</v>
      </c>
      <c r="C1230" s="3" t="s">
        <v>3691</v>
      </c>
      <c r="D1230" s="5" t="s">
        <v>8</v>
      </c>
      <c r="E1230" s="6">
        <f>VALUE(8999.25)</f>
        <v>8999.25</v>
      </c>
      <c r="F1230" s="5" t="s">
        <v>10</v>
      </c>
    </row>
    <row r="1231" spans="1:6" ht="29">
      <c r="A1231" s="1" t="s">
        <v>3692</v>
      </c>
      <c r="B1231" s="4" t="s">
        <v>3693</v>
      </c>
      <c r="C1231" s="3" t="s">
        <v>3694</v>
      </c>
      <c r="D1231" s="5" t="s">
        <v>8</v>
      </c>
      <c r="E1231" s="6">
        <f>VALUE(4499.25)</f>
        <v>4499.25</v>
      </c>
      <c r="F1231" s="5" t="s">
        <v>10</v>
      </c>
    </row>
    <row r="1232" spans="1:6" ht="29">
      <c r="A1232" s="1" t="s">
        <v>3695</v>
      </c>
      <c r="B1232" s="4" t="s">
        <v>3696</v>
      </c>
      <c r="C1232" s="3" t="s">
        <v>3697</v>
      </c>
      <c r="D1232" s="5" t="s">
        <v>8</v>
      </c>
      <c r="E1232" s="6">
        <f>VALUE(1799.25)</f>
        <v>1799.25</v>
      </c>
      <c r="F1232" s="5" t="s">
        <v>10</v>
      </c>
    </row>
    <row r="1233" spans="1:6" ht="29">
      <c r="A1233" s="1" t="s">
        <v>3698</v>
      </c>
      <c r="B1233" s="4" t="s">
        <v>3699</v>
      </c>
      <c r="C1233" s="3" t="s">
        <v>3700</v>
      </c>
      <c r="D1233" s="5" t="s">
        <v>8</v>
      </c>
      <c r="E1233" s="6">
        <f>VALUE(1499.25)</f>
        <v>1499.25</v>
      </c>
      <c r="F1233" s="5" t="s">
        <v>10</v>
      </c>
    </row>
    <row r="1234" spans="1:6" ht="29">
      <c r="A1234" s="1" t="s">
        <v>3701</v>
      </c>
      <c r="B1234" s="4" t="s">
        <v>3702</v>
      </c>
      <c r="C1234" s="3" t="s">
        <v>3703</v>
      </c>
      <c r="D1234" s="5" t="s">
        <v>8</v>
      </c>
      <c r="E1234" s="6">
        <f>VALUE(5999.25)</f>
        <v>5999.25</v>
      </c>
      <c r="F1234" s="5" t="s">
        <v>10</v>
      </c>
    </row>
    <row r="1235" spans="1:6" ht="29">
      <c r="A1235" s="1" t="s">
        <v>3704</v>
      </c>
      <c r="B1235" s="4" t="s">
        <v>3705</v>
      </c>
      <c r="C1235" s="3" t="s">
        <v>3706</v>
      </c>
      <c r="D1235" s="5" t="s">
        <v>8</v>
      </c>
      <c r="E1235" s="6">
        <f>VALUE(4499.25)</f>
        <v>4499.25</v>
      </c>
      <c r="F1235" s="5" t="s">
        <v>10</v>
      </c>
    </row>
    <row r="1236" spans="1:6" ht="29">
      <c r="A1236" s="1" t="s">
        <v>3707</v>
      </c>
      <c r="B1236" s="4" t="s">
        <v>3705</v>
      </c>
      <c r="C1236" s="3" t="s">
        <v>3708</v>
      </c>
      <c r="D1236" s="5" t="s">
        <v>8</v>
      </c>
      <c r="E1236" s="6">
        <f>VALUE(2999.25)</f>
        <v>2999.25</v>
      </c>
      <c r="F1236" s="5" t="s">
        <v>10</v>
      </c>
    </row>
    <row r="1237" spans="1:6" ht="29">
      <c r="A1237" s="1" t="s">
        <v>3709</v>
      </c>
      <c r="B1237" s="4" t="s">
        <v>3710</v>
      </c>
      <c r="C1237" s="3" t="s">
        <v>3711</v>
      </c>
      <c r="D1237" s="5" t="s">
        <v>8</v>
      </c>
      <c r="E1237" s="6">
        <f>VALUE(4499.25)</f>
        <v>4499.25</v>
      </c>
      <c r="F1237" s="5" t="s">
        <v>10</v>
      </c>
    </row>
    <row r="1238" spans="1:6" ht="43.5">
      <c r="A1238" s="1" t="s">
        <v>3712</v>
      </c>
      <c r="B1238" s="4" t="s">
        <v>3713</v>
      </c>
      <c r="C1238" s="3" t="s">
        <v>3714</v>
      </c>
      <c r="D1238" s="5" t="s">
        <v>8</v>
      </c>
      <c r="E1238" s="6">
        <f>VALUE(5399.25)</f>
        <v>5399.25</v>
      </c>
      <c r="F1238" s="5" t="s">
        <v>10</v>
      </c>
    </row>
    <row r="1239" spans="1:6" ht="43.5">
      <c r="A1239" s="1" t="s">
        <v>3715</v>
      </c>
      <c r="B1239" s="4" t="s">
        <v>3716</v>
      </c>
      <c r="C1239" s="3" t="s">
        <v>3717</v>
      </c>
      <c r="D1239" s="5" t="s">
        <v>8</v>
      </c>
      <c r="E1239" s="6">
        <f>VALUE(11999.25)</f>
        <v>11999.25</v>
      </c>
      <c r="F1239" s="5" t="s">
        <v>10</v>
      </c>
    </row>
    <row r="1240" spans="1:6" ht="43.5">
      <c r="A1240" s="1" t="s">
        <v>3718</v>
      </c>
      <c r="B1240" s="4" t="s">
        <v>3719</v>
      </c>
      <c r="C1240" s="3" t="s">
        <v>3720</v>
      </c>
      <c r="D1240" s="5" t="s">
        <v>8</v>
      </c>
      <c r="E1240" s="6">
        <f>VALUE(18000)</f>
        <v>18000</v>
      </c>
      <c r="F1240" s="5" t="s">
        <v>10</v>
      </c>
    </row>
    <row r="1241" spans="1:6" ht="43.5">
      <c r="A1241" s="1" t="s">
        <v>3721</v>
      </c>
      <c r="B1241" s="4" t="s">
        <v>3722</v>
      </c>
      <c r="C1241" s="3" t="s">
        <v>3723</v>
      </c>
      <c r="D1241" s="5" t="s">
        <v>8</v>
      </c>
      <c r="E1241" s="6">
        <f>VALUE(18750)</f>
        <v>18750</v>
      </c>
      <c r="F1241" s="5" t="s">
        <v>10</v>
      </c>
    </row>
    <row r="1242" spans="1:6" ht="29">
      <c r="A1242" s="1" t="s">
        <v>3724</v>
      </c>
      <c r="B1242" s="4" t="s">
        <v>3725</v>
      </c>
      <c r="C1242" s="3" t="s">
        <v>3726</v>
      </c>
      <c r="D1242" s="5" t="s">
        <v>8</v>
      </c>
      <c r="E1242" s="6">
        <f>VALUE(1499.25)</f>
        <v>1499.25</v>
      </c>
      <c r="F1242" s="5" t="s">
        <v>10</v>
      </c>
    </row>
    <row r="1243" spans="1:6" ht="29">
      <c r="A1243" s="1" t="s">
        <v>3727</v>
      </c>
      <c r="B1243" s="4" t="s">
        <v>3728</v>
      </c>
      <c r="C1243" s="3" t="s">
        <v>3729</v>
      </c>
      <c r="D1243" s="5" t="s">
        <v>8</v>
      </c>
      <c r="E1243" s="6">
        <f>VALUE(1499.25)</f>
        <v>1499.25</v>
      </c>
      <c r="F1243" s="5" t="s">
        <v>10</v>
      </c>
    </row>
    <row r="1244" spans="1:6" ht="29">
      <c r="A1244" s="1" t="s">
        <v>3730</v>
      </c>
      <c r="B1244" s="4" t="s">
        <v>3731</v>
      </c>
      <c r="C1244" s="3" t="s">
        <v>3732</v>
      </c>
      <c r="D1244" s="5" t="s">
        <v>8</v>
      </c>
      <c r="E1244" s="6">
        <f>VALUE(1124.25)</f>
        <v>1124.25</v>
      </c>
      <c r="F1244" s="5" t="s">
        <v>10</v>
      </c>
    </row>
    <row r="1245" spans="1:6" ht="29">
      <c r="A1245" s="1" t="s">
        <v>3733</v>
      </c>
      <c r="B1245" s="4" t="s">
        <v>3734</v>
      </c>
      <c r="C1245" s="3" t="s">
        <v>3735</v>
      </c>
      <c r="D1245" s="5" t="s">
        <v>8</v>
      </c>
      <c r="E1245" s="6">
        <f>VALUE(749.25)</f>
        <v>749.25</v>
      </c>
      <c r="F1245" s="5" t="s">
        <v>10</v>
      </c>
    </row>
    <row r="1246" spans="1:6" ht="29">
      <c r="A1246" s="1" t="s">
        <v>3736</v>
      </c>
      <c r="B1246" s="4" t="s">
        <v>3737</v>
      </c>
      <c r="C1246" s="3" t="s">
        <v>3738</v>
      </c>
      <c r="D1246" s="5" t="s">
        <v>8</v>
      </c>
      <c r="E1246" s="6">
        <f>VALUE(1349.25)</f>
        <v>1349.25</v>
      </c>
      <c r="F1246" s="5" t="s">
        <v>10</v>
      </c>
    </row>
    <row r="1247" spans="1:6" ht="29">
      <c r="A1247" s="1" t="s">
        <v>3739</v>
      </c>
      <c r="B1247" s="4" t="s">
        <v>3740</v>
      </c>
      <c r="C1247" s="3" t="s">
        <v>3741</v>
      </c>
      <c r="D1247" s="5" t="s">
        <v>8</v>
      </c>
      <c r="E1247" s="6">
        <f>VALUE(4499.25)</f>
        <v>4499.25</v>
      </c>
      <c r="F1247" s="5" t="s">
        <v>10</v>
      </c>
    </row>
    <row r="1248" spans="1:6" ht="29">
      <c r="A1248" s="1" t="s">
        <v>3742</v>
      </c>
      <c r="B1248" s="4" t="s">
        <v>3743</v>
      </c>
      <c r="C1248" s="3" t="s">
        <v>3744</v>
      </c>
      <c r="D1248" s="5" t="s">
        <v>8</v>
      </c>
      <c r="E1248" s="6">
        <f>VALUE(4499.25)</f>
        <v>4499.25</v>
      </c>
      <c r="F1248" s="5" t="s">
        <v>10</v>
      </c>
    </row>
    <row r="1249" spans="1:6" ht="29">
      <c r="A1249" s="1" t="s">
        <v>3745</v>
      </c>
      <c r="B1249" s="4" t="s">
        <v>3746</v>
      </c>
      <c r="C1249" s="3" t="s">
        <v>3747</v>
      </c>
      <c r="D1249" s="5" t="s">
        <v>8</v>
      </c>
      <c r="E1249" s="6">
        <f>VALUE(1799.25)</f>
        <v>1799.25</v>
      </c>
      <c r="F1249" s="5" t="s">
        <v>10</v>
      </c>
    </row>
    <row r="1250" spans="1:6" ht="29">
      <c r="A1250" s="1" t="s">
        <v>3748</v>
      </c>
      <c r="B1250" s="4" t="s">
        <v>3749</v>
      </c>
      <c r="C1250" s="3" t="s">
        <v>3750</v>
      </c>
      <c r="D1250" s="5" t="s">
        <v>8</v>
      </c>
      <c r="E1250" s="6">
        <f>VALUE(6749.25)</f>
        <v>6749.25</v>
      </c>
      <c r="F1250" s="5" t="s">
        <v>10</v>
      </c>
    </row>
    <row r="1251" spans="1:6" ht="29">
      <c r="A1251" s="1" t="s">
        <v>3751</v>
      </c>
      <c r="B1251" s="4" t="s">
        <v>3752</v>
      </c>
      <c r="C1251" s="3" t="s">
        <v>3753</v>
      </c>
      <c r="D1251" s="5" t="s">
        <v>8</v>
      </c>
      <c r="E1251" s="6">
        <f>VALUE(7049.25)</f>
        <v>7049.25</v>
      </c>
      <c r="F1251" s="5" t="s">
        <v>10</v>
      </c>
    </row>
    <row r="1252" spans="1:6" ht="29">
      <c r="A1252" s="1" t="s">
        <v>3754</v>
      </c>
      <c r="B1252" s="4" t="s">
        <v>3755</v>
      </c>
      <c r="C1252" s="3" t="s">
        <v>3756</v>
      </c>
      <c r="D1252" s="5" t="s">
        <v>8</v>
      </c>
      <c r="E1252" s="6">
        <f>VALUE(8999.25)</f>
        <v>8999.25</v>
      </c>
      <c r="F1252" s="5" t="s">
        <v>10</v>
      </c>
    </row>
    <row r="1253" spans="1:6">
      <c r="A1253" s="1" t="s">
        <v>3757</v>
      </c>
      <c r="B1253" s="4" t="s">
        <v>3758</v>
      </c>
      <c r="C1253" s="3" t="s">
        <v>3759</v>
      </c>
      <c r="D1253" s="5" t="s">
        <v>8</v>
      </c>
      <c r="E1253" s="6">
        <f>VALUE(6749.25)</f>
        <v>6749.25</v>
      </c>
      <c r="F1253" s="5" t="s">
        <v>10</v>
      </c>
    </row>
    <row r="1254" spans="1:6" ht="43.5">
      <c r="A1254" s="1" t="s">
        <v>3760</v>
      </c>
      <c r="B1254" s="4" t="s">
        <v>3761</v>
      </c>
      <c r="C1254" s="3" t="s">
        <v>3762</v>
      </c>
      <c r="D1254" s="5" t="s">
        <v>8</v>
      </c>
      <c r="E1254" s="6">
        <f>VALUE(8999.25)</f>
        <v>8999.25</v>
      </c>
      <c r="F1254" s="5" t="s">
        <v>10</v>
      </c>
    </row>
    <row r="1255" spans="1:6" ht="29">
      <c r="A1255" s="1" t="s">
        <v>3763</v>
      </c>
      <c r="B1255" s="4" t="s">
        <v>3764</v>
      </c>
      <c r="C1255" s="3" t="s">
        <v>3765</v>
      </c>
      <c r="D1255" s="5" t="s">
        <v>8</v>
      </c>
      <c r="E1255" s="6">
        <f>VALUE(4499.25)</f>
        <v>4499.25</v>
      </c>
      <c r="F1255" s="5" t="s">
        <v>10</v>
      </c>
    </row>
    <row r="1256" spans="1:6" ht="29">
      <c r="A1256" s="1" t="s">
        <v>3766</v>
      </c>
      <c r="B1256" s="4" t="s">
        <v>3767</v>
      </c>
      <c r="C1256" s="3" t="s">
        <v>3768</v>
      </c>
      <c r="D1256" s="5" t="s">
        <v>8</v>
      </c>
      <c r="E1256" s="6">
        <f>VALUE(1799.25)</f>
        <v>1799.25</v>
      </c>
      <c r="F1256" s="5" t="s">
        <v>10</v>
      </c>
    </row>
    <row r="1257" spans="1:6" ht="29">
      <c r="A1257" s="1" t="s">
        <v>3769</v>
      </c>
      <c r="B1257" s="4" t="s">
        <v>3770</v>
      </c>
      <c r="C1257" s="3" t="s">
        <v>3771</v>
      </c>
      <c r="D1257" s="5" t="s">
        <v>8</v>
      </c>
      <c r="E1257" s="6">
        <f>VALUE(1499.25)</f>
        <v>1499.25</v>
      </c>
      <c r="F1257" s="5" t="s">
        <v>10</v>
      </c>
    </row>
    <row r="1258" spans="1:6" ht="29">
      <c r="A1258" s="1" t="s">
        <v>3772</v>
      </c>
      <c r="B1258" s="4" t="s">
        <v>3773</v>
      </c>
      <c r="C1258" s="3" t="s">
        <v>3774</v>
      </c>
      <c r="D1258" s="5" t="s">
        <v>8</v>
      </c>
      <c r="E1258" s="6">
        <f>VALUE(5999.25)</f>
        <v>5999.25</v>
      </c>
      <c r="F1258" s="5" t="s">
        <v>10</v>
      </c>
    </row>
    <row r="1259" spans="1:6" ht="29">
      <c r="A1259" s="1" t="s">
        <v>3775</v>
      </c>
      <c r="B1259" s="4" t="s">
        <v>3776</v>
      </c>
      <c r="C1259" s="3" t="s">
        <v>3777</v>
      </c>
      <c r="D1259" s="5" t="s">
        <v>8</v>
      </c>
      <c r="E1259" s="6">
        <f>VALUE(4499.25)</f>
        <v>4499.25</v>
      </c>
      <c r="F1259" s="5" t="s">
        <v>10</v>
      </c>
    </row>
    <row r="1260" spans="1:6" ht="29">
      <c r="A1260" s="1" t="s">
        <v>3778</v>
      </c>
      <c r="B1260" s="4" t="s">
        <v>3779</v>
      </c>
      <c r="C1260" s="3" t="s">
        <v>3780</v>
      </c>
      <c r="D1260" s="5" t="s">
        <v>8</v>
      </c>
      <c r="E1260" s="6">
        <f>VALUE(2999.25)</f>
        <v>2999.25</v>
      </c>
      <c r="F1260" s="5" t="s">
        <v>10</v>
      </c>
    </row>
    <row r="1261" spans="1:6" ht="29">
      <c r="A1261" s="1" t="s">
        <v>3781</v>
      </c>
      <c r="B1261" s="4" t="s">
        <v>3782</v>
      </c>
      <c r="C1261" s="3" t="s">
        <v>3783</v>
      </c>
      <c r="D1261" s="5" t="s">
        <v>8</v>
      </c>
      <c r="E1261" s="6">
        <f>VALUE(4499.25)</f>
        <v>4499.25</v>
      </c>
      <c r="F1261" s="5" t="s">
        <v>10</v>
      </c>
    </row>
    <row r="1262" spans="1:6" ht="43.5">
      <c r="A1262" s="1" t="s">
        <v>3784</v>
      </c>
      <c r="B1262" s="4" t="s">
        <v>3785</v>
      </c>
      <c r="C1262" s="3" t="s">
        <v>3786</v>
      </c>
      <c r="D1262" s="5" t="s">
        <v>8</v>
      </c>
      <c r="E1262" s="6">
        <f>VALUE(5399.25)</f>
        <v>5399.25</v>
      </c>
      <c r="F1262" s="5" t="s">
        <v>10</v>
      </c>
    </row>
    <row r="1263" spans="1:6" ht="43.5">
      <c r="A1263" s="1" t="s">
        <v>3787</v>
      </c>
      <c r="B1263" s="4" t="s">
        <v>3788</v>
      </c>
      <c r="C1263" s="3" t="s">
        <v>3789</v>
      </c>
      <c r="D1263" s="5" t="s">
        <v>8</v>
      </c>
      <c r="E1263" s="6">
        <f>VALUE(11999.25)</f>
        <v>11999.25</v>
      </c>
      <c r="F1263" s="5" t="s">
        <v>10</v>
      </c>
    </row>
    <row r="1264" spans="1:6" ht="43.5">
      <c r="A1264" s="1" t="s">
        <v>3790</v>
      </c>
      <c r="B1264" s="4" t="s">
        <v>3791</v>
      </c>
      <c r="C1264" s="3" t="s">
        <v>3792</v>
      </c>
      <c r="D1264" s="5" t="s">
        <v>8</v>
      </c>
      <c r="E1264" s="6">
        <f>VALUE(24000)</f>
        <v>24000</v>
      </c>
      <c r="F1264" s="5" t="s">
        <v>10</v>
      </c>
    </row>
    <row r="1265" spans="1:6" ht="43.5">
      <c r="A1265" s="1" t="s">
        <v>3793</v>
      </c>
      <c r="B1265" s="4" t="s">
        <v>3794</v>
      </c>
      <c r="C1265" s="3" t="s">
        <v>3795</v>
      </c>
      <c r="D1265" s="5" t="s">
        <v>8</v>
      </c>
      <c r="E1265" s="6">
        <f>VALUE(25000)</f>
        <v>25000</v>
      </c>
      <c r="F1265" s="5" t="s">
        <v>10</v>
      </c>
    </row>
    <row r="1266" spans="1:6" ht="29">
      <c r="A1266" s="1" t="s">
        <v>3796</v>
      </c>
      <c r="B1266" s="4" t="s">
        <v>3797</v>
      </c>
      <c r="C1266" s="3" t="s">
        <v>3798</v>
      </c>
      <c r="D1266" s="5" t="s">
        <v>8</v>
      </c>
      <c r="E1266" s="6">
        <f>VALUE(1999)</f>
        <v>1999</v>
      </c>
      <c r="F1266" s="5" t="s">
        <v>10</v>
      </c>
    </row>
    <row r="1267" spans="1:6" ht="29">
      <c r="A1267" s="1" t="s">
        <v>3799</v>
      </c>
      <c r="B1267" s="4" t="s">
        <v>3800</v>
      </c>
      <c r="C1267" s="3" t="s">
        <v>3801</v>
      </c>
      <c r="D1267" s="5" t="s">
        <v>8</v>
      </c>
      <c r="E1267" s="6">
        <f>VALUE(1999)</f>
        <v>1999</v>
      </c>
      <c r="F1267" s="5" t="s">
        <v>10</v>
      </c>
    </row>
    <row r="1268" spans="1:6" ht="29">
      <c r="A1268" s="1" t="s">
        <v>3802</v>
      </c>
      <c r="B1268" s="4" t="s">
        <v>3803</v>
      </c>
      <c r="C1268" s="3" t="s">
        <v>3804</v>
      </c>
      <c r="D1268" s="5" t="s">
        <v>8</v>
      </c>
      <c r="E1268" s="6">
        <f>VALUE(1499)</f>
        <v>1499</v>
      </c>
      <c r="F1268" s="5" t="s">
        <v>10</v>
      </c>
    </row>
    <row r="1269" spans="1:6" ht="29">
      <c r="A1269" s="1" t="s">
        <v>3805</v>
      </c>
      <c r="B1269" s="4" t="s">
        <v>3806</v>
      </c>
      <c r="C1269" s="3" t="s">
        <v>3807</v>
      </c>
      <c r="D1269" s="5" t="s">
        <v>8</v>
      </c>
      <c r="E1269" s="6">
        <f>VALUE(999)</f>
        <v>999</v>
      </c>
      <c r="F1269" s="5" t="s">
        <v>10</v>
      </c>
    </row>
    <row r="1270" spans="1:6" ht="29">
      <c r="A1270" s="1" t="s">
        <v>3808</v>
      </c>
      <c r="B1270" s="4" t="s">
        <v>3809</v>
      </c>
      <c r="C1270" s="3" t="s">
        <v>3810</v>
      </c>
      <c r="D1270" s="5" t="s">
        <v>8</v>
      </c>
      <c r="E1270" s="6">
        <f>VALUE(1799)</f>
        <v>1799</v>
      </c>
      <c r="F1270" s="5" t="s">
        <v>10</v>
      </c>
    </row>
    <row r="1271" spans="1:6" ht="29">
      <c r="A1271" s="1" t="s">
        <v>3811</v>
      </c>
      <c r="B1271" s="4" t="s">
        <v>3812</v>
      </c>
      <c r="C1271" s="3" t="s">
        <v>3813</v>
      </c>
      <c r="D1271" s="5" t="s">
        <v>8</v>
      </c>
      <c r="E1271" s="6">
        <f>VALUE(5999)</f>
        <v>5999</v>
      </c>
      <c r="F1271" s="5" t="s">
        <v>10</v>
      </c>
    </row>
    <row r="1272" spans="1:6" ht="29">
      <c r="A1272" s="1" t="s">
        <v>3814</v>
      </c>
      <c r="B1272" s="4" t="s">
        <v>3815</v>
      </c>
      <c r="C1272" s="3" t="s">
        <v>3816</v>
      </c>
      <c r="D1272" s="5" t="s">
        <v>8</v>
      </c>
      <c r="E1272" s="6">
        <f>VALUE(5999)</f>
        <v>5999</v>
      </c>
      <c r="F1272" s="5" t="s">
        <v>10</v>
      </c>
    </row>
    <row r="1273" spans="1:6" ht="29">
      <c r="A1273" s="1" t="s">
        <v>3817</v>
      </c>
      <c r="B1273" s="4" t="s">
        <v>3818</v>
      </c>
      <c r="C1273" s="3" t="s">
        <v>3819</v>
      </c>
      <c r="D1273" s="5" t="s">
        <v>8</v>
      </c>
      <c r="E1273" s="6">
        <f>VALUE(2399)</f>
        <v>2399</v>
      </c>
      <c r="F1273" s="5" t="s">
        <v>10</v>
      </c>
    </row>
    <row r="1274" spans="1:6" ht="29">
      <c r="A1274" s="1" t="s">
        <v>3820</v>
      </c>
      <c r="B1274" s="4" t="s">
        <v>3821</v>
      </c>
      <c r="C1274" s="3" t="s">
        <v>3822</v>
      </c>
      <c r="D1274" s="5" t="s">
        <v>8</v>
      </c>
      <c r="E1274" s="6">
        <f>VALUE(8999)</f>
        <v>8999</v>
      </c>
      <c r="F1274" s="5" t="s">
        <v>10</v>
      </c>
    </row>
    <row r="1275" spans="1:6" ht="29">
      <c r="A1275" s="1" t="s">
        <v>3823</v>
      </c>
      <c r="B1275" s="4" t="s">
        <v>3824</v>
      </c>
      <c r="C1275" s="3" t="s">
        <v>3825</v>
      </c>
      <c r="D1275" s="5" t="s">
        <v>8</v>
      </c>
      <c r="E1275" s="6">
        <f>VALUE(9399)</f>
        <v>9399</v>
      </c>
      <c r="F1275" s="5" t="s">
        <v>10</v>
      </c>
    </row>
    <row r="1276" spans="1:6" ht="29">
      <c r="A1276" s="1" t="s">
        <v>3826</v>
      </c>
      <c r="B1276" s="4" t="s">
        <v>3827</v>
      </c>
      <c r="C1276" s="3" t="s">
        <v>3828</v>
      </c>
      <c r="D1276" s="5" t="s">
        <v>8</v>
      </c>
      <c r="E1276" s="6">
        <f>VALUE(11999)</f>
        <v>11999</v>
      </c>
      <c r="F1276" s="5" t="s">
        <v>10</v>
      </c>
    </row>
    <row r="1277" spans="1:6">
      <c r="A1277" s="1" t="s">
        <v>3829</v>
      </c>
      <c r="B1277" s="4" t="s">
        <v>3830</v>
      </c>
      <c r="C1277" s="3" t="s">
        <v>3831</v>
      </c>
      <c r="D1277" s="5" t="s">
        <v>8</v>
      </c>
      <c r="E1277" s="6">
        <f>VALUE(8999)</f>
        <v>8999</v>
      </c>
      <c r="F1277" s="5" t="s">
        <v>10</v>
      </c>
    </row>
    <row r="1278" spans="1:6" ht="43.5">
      <c r="A1278" s="1" t="s">
        <v>3832</v>
      </c>
      <c r="B1278" s="4" t="s">
        <v>3833</v>
      </c>
      <c r="C1278" s="3" t="s">
        <v>3834</v>
      </c>
      <c r="D1278" s="5" t="s">
        <v>8</v>
      </c>
      <c r="E1278" s="6">
        <f>VALUE(11999)</f>
        <v>11999</v>
      </c>
      <c r="F1278" s="5" t="s">
        <v>10</v>
      </c>
    </row>
    <row r="1279" spans="1:6" ht="29">
      <c r="A1279" s="1" t="s">
        <v>3835</v>
      </c>
      <c r="B1279" s="4" t="s">
        <v>3836</v>
      </c>
      <c r="C1279" s="3" t="s">
        <v>3837</v>
      </c>
      <c r="D1279" s="5" t="s">
        <v>8</v>
      </c>
      <c r="E1279" s="6">
        <f>VALUE(5999)</f>
        <v>5999</v>
      </c>
      <c r="F1279" s="5" t="s">
        <v>10</v>
      </c>
    </row>
    <row r="1280" spans="1:6" ht="29">
      <c r="A1280" s="1" t="s">
        <v>3838</v>
      </c>
      <c r="B1280" s="4" t="s">
        <v>3839</v>
      </c>
      <c r="C1280" s="3" t="s">
        <v>3840</v>
      </c>
      <c r="D1280" s="5" t="s">
        <v>8</v>
      </c>
      <c r="E1280" s="6">
        <f>VALUE(2399)</f>
        <v>2399</v>
      </c>
      <c r="F1280" s="5" t="s">
        <v>10</v>
      </c>
    </row>
    <row r="1281" spans="1:6" ht="29">
      <c r="A1281" s="1" t="s">
        <v>3841</v>
      </c>
      <c r="B1281" s="4" t="s">
        <v>3842</v>
      </c>
      <c r="C1281" s="3" t="s">
        <v>3843</v>
      </c>
      <c r="D1281" s="5" t="s">
        <v>8</v>
      </c>
      <c r="E1281" s="6">
        <f>VALUE(1999)</f>
        <v>1999</v>
      </c>
      <c r="F1281" s="5" t="s">
        <v>10</v>
      </c>
    </row>
    <row r="1282" spans="1:6" ht="29">
      <c r="A1282" s="1" t="s">
        <v>3844</v>
      </c>
      <c r="B1282" s="4" t="s">
        <v>3845</v>
      </c>
      <c r="C1282" s="3" t="s">
        <v>3846</v>
      </c>
      <c r="D1282" s="5" t="s">
        <v>8</v>
      </c>
      <c r="E1282" s="6">
        <f>VALUE(7999)</f>
        <v>7999</v>
      </c>
      <c r="F1282" s="5" t="s">
        <v>10</v>
      </c>
    </row>
    <row r="1283" spans="1:6" ht="29">
      <c r="A1283" s="1" t="s">
        <v>3847</v>
      </c>
      <c r="B1283" s="4" t="s">
        <v>3848</v>
      </c>
      <c r="C1283" s="3" t="s">
        <v>3849</v>
      </c>
      <c r="D1283" s="5" t="s">
        <v>8</v>
      </c>
      <c r="E1283" s="6">
        <f>VALUE(5999)</f>
        <v>5999</v>
      </c>
      <c r="F1283" s="5" t="s">
        <v>10</v>
      </c>
    </row>
    <row r="1284" spans="1:6" ht="29">
      <c r="A1284" s="1" t="s">
        <v>3850</v>
      </c>
      <c r="B1284" s="4" t="s">
        <v>3851</v>
      </c>
      <c r="C1284" s="3" t="s">
        <v>3852</v>
      </c>
      <c r="D1284" s="5" t="s">
        <v>8</v>
      </c>
      <c r="E1284" s="6">
        <f>VALUE(3999)</f>
        <v>3999</v>
      </c>
      <c r="F1284" s="5" t="s">
        <v>10</v>
      </c>
    </row>
    <row r="1285" spans="1:6" ht="29">
      <c r="A1285" s="1" t="s">
        <v>3853</v>
      </c>
      <c r="B1285" s="4" t="s">
        <v>3854</v>
      </c>
      <c r="C1285" s="3" t="s">
        <v>3855</v>
      </c>
      <c r="D1285" s="5" t="s">
        <v>8</v>
      </c>
      <c r="E1285" s="6">
        <f>VALUE(5999)</f>
        <v>5999</v>
      </c>
      <c r="F1285" s="5" t="s">
        <v>10</v>
      </c>
    </row>
    <row r="1286" spans="1:6" ht="43.5">
      <c r="A1286" s="1" t="s">
        <v>3856</v>
      </c>
      <c r="B1286" s="4" t="s">
        <v>3857</v>
      </c>
      <c r="C1286" s="3" t="s">
        <v>3858</v>
      </c>
      <c r="D1286" s="5" t="s">
        <v>8</v>
      </c>
      <c r="E1286" s="6">
        <f>VALUE(7199)</f>
        <v>7199</v>
      </c>
      <c r="F1286" s="5" t="s">
        <v>10</v>
      </c>
    </row>
    <row r="1287" spans="1:6" ht="43.5">
      <c r="A1287" s="1" t="s">
        <v>3859</v>
      </c>
      <c r="B1287" s="4" t="s">
        <v>3860</v>
      </c>
      <c r="C1287" s="3" t="s">
        <v>3861</v>
      </c>
      <c r="D1287" s="5" t="s">
        <v>8</v>
      </c>
      <c r="E1287" s="6">
        <f>VALUE(15999)</f>
        <v>15999</v>
      </c>
      <c r="F1287" s="5" t="s">
        <v>10</v>
      </c>
    </row>
    <row r="1288" spans="1:6" ht="29">
      <c r="A1288" s="1" t="s">
        <v>3862</v>
      </c>
      <c r="B1288" s="4" t="s">
        <v>3863</v>
      </c>
      <c r="C1288" s="3" t="s">
        <v>3864</v>
      </c>
      <c r="D1288" s="5" t="s">
        <v>8</v>
      </c>
      <c r="E1288" s="6">
        <f>VALUE(6000)</f>
        <v>6000</v>
      </c>
      <c r="F1288" s="5" t="s">
        <v>10</v>
      </c>
    </row>
    <row r="1289" spans="1:6" ht="29">
      <c r="A1289" s="1" t="s">
        <v>3865</v>
      </c>
      <c r="B1289" s="4" t="s">
        <v>3866</v>
      </c>
      <c r="C1289" s="3" t="s">
        <v>3867</v>
      </c>
      <c r="D1289" s="5" t="s">
        <v>8</v>
      </c>
      <c r="E1289" s="6">
        <f>VALUE(6250)</f>
        <v>6250</v>
      </c>
      <c r="F1289" s="5" t="s">
        <v>10</v>
      </c>
    </row>
    <row r="1290" spans="1:6" ht="29">
      <c r="A1290" s="1" t="s">
        <v>3868</v>
      </c>
      <c r="B1290" s="4" t="s">
        <v>3869</v>
      </c>
      <c r="C1290" s="3" t="s">
        <v>3870</v>
      </c>
      <c r="D1290" s="5" t="s">
        <v>8</v>
      </c>
      <c r="E1290" s="6">
        <f>VALUE(499.75)</f>
        <v>499.75</v>
      </c>
      <c r="F1290" s="5" t="s">
        <v>10</v>
      </c>
    </row>
    <row r="1291" spans="1:6" ht="29">
      <c r="A1291" s="1" t="s">
        <v>3871</v>
      </c>
      <c r="B1291" s="4" t="s">
        <v>3872</v>
      </c>
      <c r="C1291" s="3" t="s">
        <v>3873</v>
      </c>
      <c r="D1291" s="5" t="s">
        <v>8</v>
      </c>
      <c r="E1291" s="6">
        <f>VALUE(499.75)</f>
        <v>499.75</v>
      </c>
      <c r="F1291" s="5" t="s">
        <v>10</v>
      </c>
    </row>
    <row r="1292" spans="1:6" ht="29">
      <c r="A1292" s="1" t="s">
        <v>3874</v>
      </c>
      <c r="B1292" s="4" t="s">
        <v>3875</v>
      </c>
      <c r="C1292" s="3" t="s">
        <v>3876</v>
      </c>
      <c r="D1292" s="5" t="s">
        <v>8</v>
      </c>
      <c r="E1292" s="6">
        <f>VALUE(374.75)</f>
        <v>374.75</v>
      </c>
      <c r="F1292" s="5" t="s">
        <v>10</v>
      </c>
    </row>
    <row r="1293" spans="1:6" ht="29">
      <c r="A1293" s="1" t="s">
        <v>3877</v>
      </c>
      <c r="B1293" s="4" t="s">
        <v>3878</v>
      </c>
      <c r="C1293" s="3" t="s">
        <v>3879</v>
      </c>
      <c r="D1293" s="5" t="s">
        <v>8</v>
      </c>
      <c r="E1293" s="6">
        <f>VALUE(249.75)</f>
        <v>249.75</v>
      </c>
      <c r="F1293" s="5" t="s">
        <v>10</v>
      </c>
    </row>
    <row r="1294" spans="1:6" ht="29">
      <c r="A1294" s="1" t="s">
        <v>3880</v>
      </c>
      <c r="B1294" s="4" t="s">
        <v>3881</v>
      </c>
      <c r="C1294" s="3" t="s">
        <v>3882</v>
      </c>
      <c r="D1294" s="5" t="s">
        <v>8</v>
      </c>
      <c r="E1294" s="6">
        <f>VALUE(449.75)</f>
        <v>449.75</v>
      </c>
      <c r="F1294" s="5" t="s">
        <v>10</v>
      </c>
    </row>
    <row r="1295" spans="1:6" ht="29">
      <c r="A1295" s="1" t="s">
        <v>3883</v>
      </c>
      <c r="B1295" s="4" t="s">
        <v>3884</v>
      </c>
      <c r="C1295" s="3" t="s">
        <v>3885</v>
      </c>
      <c r="D1295" s="5" t="s">
        <v>8</v>
      </c>
      <c r="E1295" s="6">
        <f>VALUE(1499.75)</f>
        <v>1499.75</v>
      </c>
      <c r="F1295" s="5" t="s">
        <v>10</v>
      </c>
    </row>
    <row r="1296" spans="1:6" ht="29">
      <c r="A1296" s="1" t="s">
        <v>3886</v>
      </c>
      <c r="B1296" s="4" t="s">
        <v>3887</v>
      </c>
      <c r="C1296" s="3" t="s">
        <v>3888</v>
      </c>
      <c r="D1296" s="5" t="s">
        <v>8</v>
      </c>
      <c r="E1296" s="6">
        <f>VALUE(1499.75)</f>
        <v>1499.75</v>
      </c>
      <c r="F1296" s="5" t="s">
        <v>10</v>
      </c>
    </row>
    <row r="1297" spans="1:6" ht="58">
      <c r="A1297" s="1" t="s">
        <v>3889</v>
      </c>
      <c r="B1297" s="4" t="s">
        <v>3890</v>
      </c>
      <c r="C1297" s="3" t="s">
        <v>3891</v>
      </c>
      <c r="D1297" s="5" t="s">
        <v>8</v>
      </c>
      <c r="E1297" s="6">
        <f>VALUE(4686.56)</f>
        <v>4686.5600000000004</v>
      </c>
      <c r="F1297" s="5" t="s">
        <v>10</v>
      </c>
    </row>
    <row r="1298" spans="1:6" ht="58">
      <c r="A1298" s="1" t="s">
        <v>3892</v>
      </c>
      <c r="B1298" s="4" t="s">
        <v>3893</v>
      </c>
      <c r="C1298" s="3" t="s">
        <v>3894</v>
      </c>
      <c r="D1298" s="5" t="s">
        <v>8</v>
      </c>
      <c r="E1298" s="6">
        <f>VALUE(4874.06)</f>
        <v>4874.0600000000004</v>
      </c>
      <c r="F1298" s="5" t="s">
        <v>10</v>
      </c>
    </row>
    <row r="1299" spans="1:6" ht="58">
      <c r="A1299" s="1" t="s">
        <v>3895</v>
      </c>
      <c r="B1299" s="4" t="s">
        <v>3896</v>
      </c>
      <c r="C1299" s="3" t="s">
        <v>3897</v>
      </c>
      <c r="D1299" s="5" t="s">
        <v>8</v>
      </c>
      <c r="E1299" s="6">
        <f>VALUE(2717.81)</f>
        <v>2717.81</v>
      </c>
      <c r="F1299" s="5" t="s">
        <v>10</v>
      </c>
    </row>
    <row r="1300" spans="1:6" ht="58">
      <c r="A1300" s="1" t="s">
        <v>3898</v>
      </c>
      <c r="B1300" s="4" t="s">
        <v>3899</v>
      </c>
      <c r="C1300" s="3" t="s">
        <v>3900</v>
      </c>
      <c r="D1300" s="5" t="s">
        <v>8</v>
      </c>
      <c r="E1300" s="6">
        <f>VALUE(2905.31)</f>
        <v>2905.31</v>
      </c>
      <c r="F1300" s="5" t="s">
        <v>10</v>
      </c>
    </row>
    <row r="1301" spans="1:6" ht="58">
      <c r="A1301" s="1" t="s">
        <v>3901</v>
      </c>
      <c r="B1301" s="4" t="s">
        <v>3902</v>
      </c>
      <c r="C1301" s="3" t="s">
        <v>3903</v>
      </c>
      <c r="D1301" s="5" t="s">
        <v>8</v>
      </c>
      <c r="E1301" s="6">
        <f>VALUE(5624.06)</f>
        <v>5624.06</v>
      </c>
      <c r="F1301" s="5" t="s">
        <v>10</v>
      </c>
    </row>
    <row r="1302" spans="1:6" ht="58">
      <c r="A1302" s="1" t="s">
        <v>3904</v>
      </c>
      <c r="B1302" s="4" t="s">
        <v>3905</v>
      </c>
      <c r="C1302" s="3" t="s">
        <v>3906</v>
      </c>
      <c r="D1302" s="5" t="s">
        <v>8</v>
      </c>
      <c r="E1302" s="6">
        <f>VALUE(5811.56)</f>
        <v>5811.56</v>
      </c>
      <c r="F1302" s="5" t="s">
        <v>10</v>
      </c>
    </row>
    <row r="1303" spans="1:6" ht="58">
      <c r="A1303" s="1" t="s">
        <v>3907</v>
      </c>
      <c r="B1303" s="4" t="s">
        <v>3908</v>
      </c>
      <c r="C1303" s="3" t="s">
        <v>3909</v>
      </c>
      <c r="D1303" s="5" t="s">
        <v>8</v>
      </c>
      <c r="E1303" s="6">
        <f>VALUE(9374.06)</f>
        <v>9374.06</v>
      </c>
      <c r="F1303" s="5" t="s">
        <v>10</v>
      </c>
    </row>
    <row r="1304" spans="1:6" ht="58">
      <c r="A1304" s="1" t="s">
        <v>3910</v>
      </c>
      <c r="B1304" s="4" t="s">
        <v>3911</v>
      </c>
      <c r="C1304" s="3" t="s">
        <v>3912</v>
      </c>
      <c r="D1304" s="5" t="s">
        <v>8</v>
      </c>
      <c r="E1304" s="6">
        <f>VALUE(10311.56)</f>
        <v>10311.56</v>
      </c>
      <c r="F1304" s="5" t="s">
        <v>10</v>
      </c>
    </row>
    <row r="1305" spans="1:6" ht="58">
      <c r="A1305" s="1" t="s">
        <v>3913</v>
      </c>
      <c r="B1305" s="4" t="s">
        <v>3914</v>
      </c>
      <c r="C1305" s="3" t="s">
        <v>3915</v>
      </c>
      <c r="D1305" s="5" t="s">
        <v>8</v>
      </c>
      <c r="E1305" s="6">
        <f>VALUE(22500)</f>
        <v>22500</v>
      </c>
      <c r="F1305" s="5" t="s">
        <v>10</v>
      </c>
    </row>
    <row r="1306" spans="1:6" ht="58">
      <c r="A1306" s="1" t="s">
        <v>3916</v>
      </c>
      <c r="B1306" s="4" t="s">
        <v>3917</v>
      </c>
      <c r="C1306" s="3" t="s">
        <v>3918</v>
      </c>
      <c r="D1306" s="5" t="s">
        <v>8</v>
      </c>
      <c r="E1306" s="6">
        <f>VALUE(23437.5)</f>
        <v>23437.5</v>
      </c>
      <c r="F1306" s="5" t="s">
        <v>10</v>
      </c>
    </row>
    <row r="1307" spans="1:6" ht="58">
      <c r="A1307" s="1" t="s">
        <v>3919</v>
      </c>
      <c r="B1307" s="4" t="s">
        <v>3920</v>
      </c>
      <c r="C1307" s="3" t="s">
        <v>3921</v>
      </c>
      <c r="D1307" s="5" t="s">
        <v>8</v>
      </c>
      <c r="E1307" s="6">
        <f>VALUE(1592.81)</f>
        <v>1592.81</v>
      </c>
      <c r="F1307" s="5" t="s">
        <v>10</v>
      </c>
    </row>
    <row r="1308" spans="1:6" ht="58">
      <c r="A1308" s="1" t="s">
        <v>3922</v>
      </c>
      <c r="B1308" s="4" t="s">
        <v>3923</v>
      </c>
      <c r="C1308" s="3" t="s">
        <v>3924</v>
      </c>
      <c r="D1308" s="5" t="s">
        <v>8</v>
      </c>
      <c r="E1308" s="6">
        <f>VALUE(2811.56)</f>
        <v>2811.56</v>
      </c>
      <c r="F1308" s="5" t="s">
        <v>10</v>
      </c>
    </row>
    <row r="1309" spans="1:6" ht="58">
      <c r="A1309" s="1" t="s">
        <v>3925</v>
      </c>
      <c r="B1309" s="4" t="s">
        <v>3926</v>
      </c>
      <c r="C1309" s="3" t="s">
        <v>3927</v>
      </c>
      <c r="D1309" s="5" t="s">
        <v>8</v>
      </c>
      <c r="E1309" s="6">
        <f>VALUE(2062.5)</f>
        <v>2062.5</v>
      </c>
      <c r="F1309" s="5" t="s">
        <v>10</v>
      </c>
    </row>
    <row r="1310" spans="1:6" ht="58">
      <c r="A1310" s="1" t="s">
        <v>3928</v>
      </c>
      <c r="B1310" s="4" t="s">
        <v>3929</v>
      </c>
      <c r="C1310" s="3" t="s">
        <v>3930</v>
      </c>
      <c r="D1310" s="5" t="s">
        <v>8</v>
      </c>
      <c r="E1310" s="6">
        <f>VALUE(936.56)</f>
        <v>936.56</v>
      </c>
      <c r="F1310" s="5" t="s">
        <v>10</v>
      </c>
    </row>
    <row r="1311" spans="1:6" ht="58">
      <c r="A1311" s="1" t="s">
        <v>3931</v>
      </c>
      <c r="B1311" s="4" t="s">
        <v>3932</v>
      </c>
      <c r="C1311" s="3" t="s">
        <v>3933</v>
      </c>
      <c r="D1311" s="5" t="s">
        <v>8</v>
      </c>
      <c r="E1311" s="6">
        <f>VALUE(936.56)</f>
        <v>936.56</v>
      </c>
      <c r="F1311" s="5" t="s">
        <v>10</v>
      </c>
    </row>
    <row r="1312" spans="1:6" ht="58">
      <c r="A1312" s="1" t="s">
        <v>3934</v>
      </c>
      <c r="B1312" s="4" t="s">
        <v>3935</v>
      </c>
      <c r="C1312" s="3" t="s">
        <v>3936</v>
      </c>
      <c r="D1312" s="5" t="s">
        <v>8</v>
      </c>
      <c r="E1312" s="6">
        <f>VALUE(561.56)</f>
        <v>561.55999999999995</v>
      </c>
      <c r="F1312" s="5" t="s">
        <v>10</v>
      </c>
    </row>
    <row r="1313" spans="1:6" ht="58">
      <c r="A1313" s="1" t="s">
        <v>3937</v>
      </c>
      <c r="B1313" s="4" t="s">
        <v>3938</v>
      </c>
      <c r="C1313" s="3" t="s">
        <v>3939</v>
      </c>
      <c r="D1313" s="5" t="s">
        <v>8</v>
      </c>
      <c r="E1313" s="6">
        <f>VALUE(749.06)</f>
        <v>749.06</v>
      </c>
      <c r="F1313" s="5" t="s">
        <v>10</v>
      </c>
    </row>
    <row r="1314" spans="1:6" ht="58">
      <c r="A1314" s="1" t="s">
        <v>3940</v>
      </c>
      <c r="B1314" s="4" t="s">
        <v>3941</v>
      </c>
      <c r="C1314" s="3" t="s">
        <v>3942</v>
      </c>
      <c r="D1314" s="5" t="s">
        <v>8</v>
      </c>
      <c r="E1314" s="6">
        <f>VALUE(936.56)</f>
        <v>936.56</v>
      </c>
      <c r="F1314" s="5" t="s">
        <v>10</v>
      </c>
    </row>
    <row r="1315" spans="1:6" ht="58">
      <c r="A1315" s="1" t="s">
        <v>3943</v>
      </c>
      <c r="B1315" s="4" t="s">
        <v>3944</v>
      </c>
      <c r="C1315" s="3" t="s">
        <v>3945</v>
      </c>
      <c r="D1315" s="5" t="s">
        <v>8</v>
      </c>
      <c r="E1315" s="6">
        <f>VALUE(2999.06)</f>
        <v>2999.06</v>
      </c>
      <c r="F1315" s="5" t="s">
        <v>10</v>
      </c>
    </row>
    <row r="1316" spans="1:6" ht="58">
      <c r="A1316" s="1" t="s">
        <v>3946</v>
      </c>
      <c r="B1316" s="4" t="s">
        <v>3947</v>
      </c>
      <c r="C1316" s="3" t="s">
        <v>3948</v>
      </c>
      <c r="D1316" s="5" t="s">
        <v>8</v>
      </c>
      <c r="E1316" s="6">
        <f>VALUE(3017.81)</f>
        <v>3017.81</v>
      </c>
      <c r="F1316" s="5" t="s">
        <v>10</v>
      </c>
    </row>
    <row r="1317" spans="1:6" ht="58">
      <c r="A1317" s="1" t="s">
        <v>3949</v>
      </c>
      <c r="B1317" s="4" t="s">
        <v>3950</v>
      </c>
      <c r="C1317" s="3" t="s">
        <v>3951</v>
      </c>
      <c r="D1317" s="5" t="s">
        <v>8</v>
      </c>
      <c r="E1317" s="6">
        <f>VALUE(749.06)</f>
        <v>749.06</v>
      </c>
      <c r="F1317" s="5" t="s">
        <v>10</v>
      </c>
    </row>
    <row r="1318" spans="1:6" ht="58">
      <c r="A1318" s="1" t="s">
        <v>3952</v>
      </c>
      <c r="B1318" s="4" t="s">
        <v>3953</v>
      </c>
      <c r="C1318" s="3" t="s">
        <v>3954</v>
      </c>
      <c r="D1318" s="5" t="s">
        <v>8</v>
      </c>
      <c r="E1318" s="6">
        <f>VALUE(936.56)</f>
        <v>936.56</v>
      </c>
      <c r="F1318" s="5" t="s">
        <v>10</v>
      </c>
    </row>
    <row r="1319" spans="1:6" ht="58">
      <c r="A1319" s="1" t="s">
        <v>3955</v>
      </c>
      <c r="B1319" s="4" t="s">
        <v>3956</v>
      </c>
      <c r="C1319" s="3" t="s">
        <v>3957</v>
      </c>
      <c r="D1319" s="5" t="s">
        <v>8</v>
      </c>
      <c r="E1319" s="6">
        <f>VALUE(561.56)</f>
        <v>561.55999999999995</v>
      </c>
      <c r="F1319" s="5" t="s">
        <v>10</v>
      </c>
    </row>
    <row r="1320" spans="1:6" ht="58">
      <c r="A1320" s="1" t="s">
        <v>3958</v>
      </c>
      <c r="B1320" s="4" t="s">
        <v>3959</v>
      </c>
      <c r="C1320" s="3" t="s">
        <v>3960</v>
      </c>
      <c r="D1320" s="5" t="s">
        <v>8</v>
      </c>
      <c r="E1320" s="6">
        <f>VALUE(374.06)</f>
        <v>374.06</v>
      </c>
      <c r="F1320" s="5" t="s">
        <v>10</v>
      </c>
    </row>
    <row r="1321" spans="1:6" ht="58">
      <c r="A1321" s="1" t="s">
        <v>3961</v>
      </c>
      <c r="B1321" s="4" t="s">
        <v>3962</v>
      </c>
      <c r="C1321" s="3" t="s">
        <v>3963</v>
      </c>
      <c r="D1321" s="5" t="s">
        <v>8</v>
      </c>
      <c r="E1321" s="6">
        <f>VALUE(936.56)</f>
        <v>936.56</v>
      </c>
      <c r="F1321" s="5" t="s">
        <v>10</v>
      </c>
    </row>
    <row r="1322" spans="1:6" ht="58">
      <c r="A1322" s="1" t="s">
        <v>3964</v>
      </c>
      <c r="B1322" s="4" t="s">
        <v>3965</v>
      </c>
      <c r="C1322" s="3" t="s">
        <v>3966</v>
      </c>
      <c r="D1322" s="5" t="s">
        <v>8</v>
      </c>
      <c r="E1322" s="6">
        <f>VALUE(561.56)</f>
        <v>561.55999999999995</v>
      </c>
      <c r="F1322" s="5" t="s">
        <v>10</v>
      </c>
    </row>
    <row r="1323" spans="1:6" ht="58">
      <c r="A1323" s="1" t="s">
        <v>3967</v>
      </c>
      <c r="B1323" s="4" t="s">
        <v>3968</v>
      </c>
      <c r="C1323" s="3" t="s">
        <v>3969</v>
      </c>
      <c r="D1323" s="5" t="s">
        <v>8</v>
      </c>
      <c r="E1323" s="6">
        <f>VALUE(1124.06)</f>
        <v>1124.06</v>
      </c>
      <c r="F1323" s="5" t="s">
        <v>10</v>
      </c>
    </row>
    <row r="1324" spans="1:6" ht="58">
      <c r="A1324" s="1" t="s">
        <v>3970</v>
      </c>
      <c r="B1324" s="4" t="s">
        <v>3971</v>
      </c>
      <c r="C1324" s="3" t="s">
        <v>3972</v>
      </c>
      <c r="D1324" s="5" t="s">
        <v>8</v>
      </c>
      <c r="E1324" s="6">
        <f>VALUE(3749.06)</f>
        <v>3749.06</v>
      </c>
      <c r="F1324" s="5" t="s">
        <v>10</v>
      </c>
    </row>
    <row r="1325" spans="1:6" ht="58">
      <c r="A1325" s="1" t="s">
        <v>3973</v>
      </c>
      <c r="B1325" s="4" t="s">
        <v>3974</v>
      </c>
      <c r="C1325" s="3" t="s">
        <v>3975</v>
      </c>
      <c r="D1325" s="5" t="s">
        <v>8</v>
      </c>
      <c r="E1325" s="6">
        <f>VALUE(1874.06)</f>
        <v>1874.06</v>
      </c>
      <c r="F1325" s="5" t="s">
        <v>10</v>
      </c>
    </row>
    <row r="1326" spans="1:6" ht="58">
      <c r="A1326" s="1" t="s">
        <v>3976</v>
      </c>
      <c r="B1326" s="4" t="s">
        <v>3977</v>
      </c>
      <c r="C1326" s="3" t="s">
        <v>3978</v>
      </c>
      <c r="D1326" s="5" t="s">
        <v>8</v>
      </c>
      <c r="E1326" s="6">
        <f>VALUE(936.56)</f>
        <v>936.56</v>
      </c>
      <c r="F1326" s="5" t="s">
        <v>10</v>
      </c>
    </row>
    <row r="1327" spans="1:6" ht="58">
      <c r="A1327" s="1" t="s">
        <v>3979</v>
      </c>
      <c r="B1327" s="4" t="s">
        <v>3980</v>
      </c>
      <c r="C1327" s="3" t="s">
        <v>3981</v>
      </c>
      <c r="D1327" s="5" t="s">
        <v>8</v>
      </c>
      <c r="E1327" s="6">
        <f>VALUE(4311.56)</f>
        <v>4311.5600000000004</v>
      </c>
      <c r="F1327" s="5" t="s">
        <v>10</v>
      </c>
    </row>
    <row r="1328" spans="1:6" ht="58">
      <c r="A1328" s="1" t="s">
        <v>3982</v>
      </c>
      <c r="B1328" s="4" t="s">
        <v>3983</v>
      </c>
      <c r="C1328" s="3" t="s">
        <v>3984</v>
      </c>
      <c r="D1328" s="5" t="s">
        <v>8</v>
      </c>
      <c r="E1328" s="6">
        <f>VALUE(4686.56)</f>
        <v>4686.5600000000004</v>
      </c>
      <c r="F1328" s="5" t="s">
        <v>10</v>
      </c>
    </row>
    <row r="1329" spans="1:6" ht="58">
      <c r="A1329" s="1" t="s">
        <v>3985</v>
      </c>
      <c r="B1329" s="4" t="s">
        <v>3986</v>
      </c>
      <c r="C1329" s="3" t="s">
        <v>3987</v>
      </c>
      <c r="D1329" s="5" t="s">
        <v>8</v>
      </c>
      <c r="E1329" s="6">
        <f>VALUE(1874.06)</f>
        <v>1874.06</v>
      </c>
      <c r="F1329" s="5" t="s">
        <v>10</v>
      </c>
    </row>
    <row r="1330" spans="1:6" ht="58">
      <c r="A1330" s="1" t="s">
        <v>3988</v>
      </c>
      <c r="B1330" s="4" t="s">
        <v>3989</v>
      </c>
      <c r="C1330" s="3" t="s">
        <v>3990</v>
      </c>
      <c r="D1330" s="5" t="s">
        <v>8</v>
      </c>
      <c r="E1330" s="6">
        <f>VALUE(1311.56)</f>
        <v>1311.56</v>
      </c>
      <c r="F1330" s="5" t="s">
        <v>10</v>
      </c>
    </row>
    <row r="1331" spans="1:6" ht="58">
      <c r="A1331" s="1" t="s">
        <v>3991</v>
      </c>
      <c r="B1331" s="4" t="s">
        <v>3992</v>
      </c>
      <c r="C1331" s="3" t="s">
        <v>3993</v>
      </c>
      <c r="D1331" s="5" t="s">
        <v>8</v>
      </c>
      <c r="E1331" s="6">
        <f>VALUE(749.06)</f>
        <v>749.06</v>
      </c>
      <c r="F1331" s="5" t="s">
        <v>10</v>
      </c>
    </row>
    <row r="1332" spans="1:6" ht="58">
      <c r="A1332" s="1" t="s">
        <v>3994</v>
      </c>
      <c r="B1332" s="4" t="s">
        <v>3995</v>
      </c>
      <c r="C1332" s="3" t="s">
        <v>3996</v>
      </c>
      <c r="D1332" s="5" t="s">
        <v>8</v>
      </c>
      <c r="E1332" s="6">
        <f>VALUE(1405.31)</f>
        <v>1405.31</v>
      </c>
      <c r="F1332" s="5" t="s">
        <v>10</v>
      </c>
    </row>
    <row r="1333" spans="1:6" ht="58">
      <c r="A1333" s="1" t="s">
        <v>3997</v>
      </c>
      <c r="B1333" s="4" t="s">
        <v>3998</v>
      </c>
      <c r="C1333" s="3" t="s">
        <v>3999</v>
      </c>
      <c r="D1333" s="5" t="s">
        <v>8</v>
      </c>
      <c r="E1333" s="6">
        <f>VALUE(561.56)</f>
        <v>561.55999999999995</v>
      </c>
      <c r="F1333" s="5" t="s">
        <v>10</v>
      </c>
    </row>
    <row r="1334" spans="1:6" ht="58">
      <c r="A1334" s="1" t="s">
        <v>4000</v>
      </c>
      <c r="B1334" s="4" t="s">
        <v>4001</v>
      </c>
      <c r="C1334" s="3" t="s">
        <v>4002</v>
      </c>
      <c r="D1334" s="5" t="s">
        <v>8</v>
      </c>
      <c r="E1334" s="6">
        <f>VALUE(467.81)</f>
        <v>467.81</v>
      </c>
      <c r="F1334" s="5" t="s">
        <v>10</v>
      </c>
    </row>
    <row r="1335" spans="1:6" ht="58">
      <c r="A1335" s="1" t="s">
        <v>4003</v>
      </c>
      <c r="B1335" s="4" t="s">
        <v>4004</v>
      </c>
      <c r="C1335" s="3" t="s">
        <v>4005</v>
      </c>
      <c r="D1335" s="5" t="s">
        <v>8</v>
      </c>
      <c r="E1335" s="6">
        <f>VALUE(1405.31)</f>
        <v>1405.31</v>
      </c>
      <c r="F1335" s="5" t="s">
        <v>10</v>
      </c>
    </row>
    <row r="1336" spans="1:6" ht="58">
      <c r="A1336" s="1" t="s">
        <v>4006</v>
      </c>
      <c r="B1336" s="4" t="s">
        <v>4007</v>
      </c>
      <c r="C1336" s="3" t="s">
        <v>4008</v>
      </c>
      <c r="D1336" s="5" t="s">
        <v>8</v>
      </c>
      <c r="E1336" s="6">
        <f>VALUE(1874.06)</f>
        <v>1874.06</v>
      </c>
      <c r="F1336" s="5" t="s">
        <v>10</v>
      </c>
    </row>
    <row r="1337" spans="1:6" ht="58">
      <c r="A1337" s="1" t="s">
        <v>4009</v>
      </c>
      <c r="B1337" s="4" t="s">
        <v>4010</v>
      </c>
      <c r="C1337" s="3" t="s">
        <v>4011</v>
      </c>
      <c r="D1337" s="5" t="s">
        <v>8</v>
      </c>
      <c r="E1337" s="6">
        <f>VALUE(1405.31)</f>
        <v>1405.31</v>
      </c>
      <c r="F1337" s="5" t="s">
        <v>10</v>
      </c>
    </row>
    <row r="1338" spans="1:6" ht="58">
      <c r="A1338" s="1" t="s">
        <v>4012</v>
      </c>
      <c r="B1338" s="4" t="s">
        <v>4013</v>
      </c>
      <c r="C1338" s="3" t="s">
        <v>4014</v>
      </c>
      <c r="D1338" s="5" t="s">
        <v>8</v>
      </c>
      <c r="E1338" s="6">
        <f>VALUE(936.56)</f>
        <v>936.56</v>
      </c>
      <c r="F1338" s="5" t="s">
        <v>10</v>
      </c>
    </row>
    <row r="1339" spans="1:6" ht="58">
      <c r="A1339" s="1" t="s">
        <v>4015</v>
      </c>
      <c r="B1339" s="4" t="s">
        <v>4016</v>
      </c>
      <c r="C1339" s="3" t="s">
        <v>4017</v>
      </c>
      <c r="D1339" s="5" t="s">
        <v>8</v>
      </c>
      <c r="E1339" s="6">
        <f>VALUE(1686.56)</f>
        <v>1686.56</v>
      </c>
      <c r="F1339" s="5" t="s">
        <v>10</v>
      </c>
    </row>
    <row r="1340" spans="1:6" ht="58">
      <c r="A1340" s="1" t="s">
        <v>4018</v>
      </c>
      <c r="B1340" s="4" t="s">
        <v>4019</v>
      </c>
      <c r="C1340" s="3" t="s">
        <v>4020</v>
      </c>
      <c r="D1340" s="5" t="s">
        <v>8</v>
      </c>
      <c r="E1340" s="6">
        <f>VALUE(5062.5)</f>
        <v>5062.5</v>
      </c>
      <c r="F1340" s="5" t="s">
        <v>10</v>
      </c>
    </row>
    <row r="1341" spans="1:6" ht="58">
      <c r="A1341" s="1" t="s">
        <v>4021</v>
      </c>
      <c r="B1341" s="4" t="s">
        <v>4022</v>
      </c>
      <c r="C1341" s="3" t="s">
        <v>4023</v>
      </c>
      <c r="D1341" s="5" t="s">
        <v>8</v>
      </c>
      <c r="E1341" s="6">
        <f>VALUE(5437.5)</f>
        <v>5437.5</v>
      </c>
      <c r="F1341" s="5" t="s">
        <v>10</v>
      </c>
    </row>
    <row r="1342" spans="1:6" ht="58">
      <c r="A1342" s="1" t="s">
        <v>4024</v>
      </c>
      <c r="B1342" s="4" t="s">
        <v>4025</v>
      </c>
      <c r="C1342" s="3" t="s">
        <v>4026</v>
      </c>
      <c r="D1342" s="5" t="s">
        <v>8</v>
      </c>
      <c r="E1342" s="6">
        <f>VALUE(5624.06)</f>
        <v>5624.06</v>
      </c>
      <c r="F1342" s="5" t="s">
        <v>10</v>
      </c>
    </row>
    <row r="1343" spans="1:6" ht="58">
      <c r="A1343" s="1" t="s">
        <v>4027</v>
      </c>
      <c r="B1343" s="4" t="s">
        <v>4028</v>
      </c>
      <c r="C1343" s="3" t="s">
        <v>4029</v>
      </c>
      <c r="D1343" s="5" t="s">
        <v>8</v>
      </c>
      <c r="E1343" s="6">
        <f>VALUE(5999.06)</f>
        <v>5999.06</v>
      </c>
      <c r="F1343" s="5" t="s">
        <v>10</v>
      </c>
    </row>
    <row r="1344" spans="1:6" ht="58">
      <c r="A1344" s="1" t="s">
        <v>4030</v>
      </c>
      <c r="B1344" s="4" t="s">
        <v>4031</v>
      </c>
      <c r="C1344" s="3" t="s">
        <v>4032</v>
      </c>
      <c r="D1344" s="5" t="s">
        <v>8</v>
      </c>
      <c r="E1344" s="6">
        <f>VALUE(5624.06)</f>
        <v>5624.06</v>
      </c>
      <c r="F1344" s="5" t="s">
        <v>10</v>
      </c>
    </row>
    <row r="1345" spans="1:6" ht="58">
      <c r="A1345" s="1" t="s">
        <v>4033</v>
      </c>
      <c r="B1345" s="4" t="s">
        <v>4034</v>
      </c>
      <c r="C1345" s="3" t="s">
        <v>4035</v>
      </c>
      <c r="D1345" s="5" t="s">
        <v>8</v>
      </c>
      <c r="E1345" s="6">
        <f>VALUE(5999.06)</f>
        <v>5999.06</v>
      </c>
      <c r="F1345" s="5" t="s">
        <v>10</v>
      </c>
    </row>
    <row r="1346" spans="1:6" ht="58">
      <c r="A1346" s="1" t="s">
        <v>4036</v>
      </c>
      <c r="B1346" s="4" t="s">
        <v>4037</v>
      </c>
      <c r="C1346" s="3" t="s">
        <v>4038</v>
      </c>
      <c r="D1346" s="5" t="s">
        <v>8</v>
      </c>
      <c r="E1346" s="6">
        <f>VALUE(6561.56)</f>
        <v>6561.56</v>
      </c>
      <c r="F1346" s="5" t="s">
        <v>10</v>
      </c>
    </row>
    <row r="1347" spans="1:6" ht="58">
      <c r="A1347" s="1" t="s">
        <v>4039</v>
      </c>
      <c r="B1347" s="4" t="s">
        <v>4040</v>
      </c>
      <c r="C1347" s="3" t="s">
        <v>4041</v>
      </c>
      <c r="D1347" s="5" t="s">
        <v>8</v>
      </c>
      <c r="E1347" s="6">
        <f>VALUE(5624.06)</f>
        <v>5624.06</v>
      </c>
      <c r="F1347" s="5" t="s">
        <v>10</v>
      </c>
    </row>
    <row r="1348" spans="1:6" ht="43.5">
      <c r="A1348" s="1" t="s">
        <v>4042</v>
      </c>
      <c r="B1348" s="4" t="s">
        <v>4043</v>
      </c>
      <c r="C1348" s="3" t="s">
        <v>4044</v>
      </c>
      <c r="D1348" s="5" t="s">
        <v>8</v>
      </c>
      <c r="E1348" s="6">
        <f>VALUE(8062.5)</f>
        <v>8062.5</v>
      </c>
      <c r="F1348" s="5" t="s">
        <v>10</v>
      </c>
    </row>
    <row r="1349" spans="1:6" ht="43.5">
      <c r="A1349" s="1" t="s">
        <v>4045</v>
      </c>
      <c r="B1349" s="4" t="s">
        <v>4046</v>
      </c>
      <c r="C1349" s="3" t="s">
        <v>4047</v>
      </c>
      <c r="D1349" s="5" t="s">
        <v>8</v>
      </c>
      <c r="E1349" s="6">
        <f>VALUE(9000)</f>
        <v>9000</v>
      </c>
      <c r="F1349" s="5" t="s">
        <v>10</v>
      </c>
    </row>
    <row r="1350" spans="1:6" ht="58">
      <c r="A1350" s="1" t="s">
        <v>4048</v>
      </c>
      <c r="B1350" s="4" t="s">
        <v>4049</v>
      </c>
      <c r="C1350" s="3" t="s">
        <v>4050</v>
      </c>
      <c r="D1350" s="5" t="s">
        <v>8</v>
      </c>
      <c r="E1350" s="6">
        <f>VALUE(7499.06)</f>
        <v>7499.06</v>
      </c>
      <c r="F1350" s="5" t="s">
        <v>10</v>
      </c>
    </row>
    <row r="1351" spans="1:6" ht="58">
      <c r="A1351" s="1" t="s">
        <v>4051</v>
      </c>
      <c r="B1351" s="4" t="s">
        <v>4052</v>
      </c>
      <c r="C1351" s="3" t="s">
        <v>4053</v>
      </c>
      <c r="D1351" s="5" t="s">
        <v>8</v>
      </c>
      <c r="E1351" s="6">
        <f>VALUE(4500)</f>
        <v>4500</v>
      </c>
      <c r="F1351" s="5" t="s">
        <v>10</v>
      </c>
    </row>
    <row r="1352" spans="1:6" ht="58">
      <c r="A1352" s="1" t="s">
        <v>4054</v>
      </c>
      <c r="B1352" s="4" t="s">
        <v>4055</v>
      </c>
      <c r="C1352" s="3" t="s">
        <v>4056</v>
      </c>
      <c r="D1352" s="5" t="s">
        <v>8</v>
      </c>
      <c r="E1352" s="6">
        <f>VALUE(5436.56)</f>
        <v>5436.56</v>
      </c>
      <c r="F1352" s="5" t="s">
        <v>10</v>
      </c>
    </row>
    <row r="1353" spans="1:6" ht="58">
      <c r="A1353" s="1" t="s">
        <v>4057</v>
      </c>
      <c r="B1353" s="4" t="s">
        <v>4058</v>
      </c>
      <c r="C1353" s="3" t="s">
        <v>4059</v>
      </c>
      <c r="D1353" s="5" t="s">
        <v>8</v>
      </c>
      <c r="E1353" s="6">
        <f>VALUE(2811.56)</f>
        <v>2811.56</v>
      </c>
      <c r="F1353" s="5" t="s">
        <v>10</v>
      </c>
    </row>
    <row r="1354" spans="1:6" ht="58">
      <c r="A1354" s="1" t="s">
        <v>4060</v>
      </c>
      <c r="B1354" s="4" t="s">
        <v>4061</v>
      </c>
      <c r="C1354" s="3" t="s">
        <v>4062</v>
      </c>
      <c r="D1354" s="5" t="s">
        <v>8</v>
      </c>
      <c r="E1354" s="6">
        <f>VALUE(1124.06)</f>
        <v>1124.06</v>
      </c>
      <c r="F1354" s="5" t="s">
        <v>10</v>
      </c>
    </row>
    <row r="1355" spans="1:6" ht="58">
      <c r="A1355" s="1" t="s">
        <v>4063</v>
      </c>
      <c r="B1355" s="4" t="s">
        <v>4064</v>
      </c>
      <c r="C1355" s="3" t="s">
        <v>4065</v>
      </c>
      <c r="D1355" s="5" t="s">
        <v>8</v>
      </c>
      <c r="E1355" s="6">
        <f>VALUE(936.56)</f>
        <v>936.56</v>
      </c>
      <c r="F1355" s="5" t="s">
        <v>10</v>
      </c>
    </row>
    <row r="1356" spans="1:6" ht="58">
      <c r="A1356" s="1" t="s">
        <v>4066</v>
      </c>
      <c r="B1356" s="4" t="s">
        <v>4067</v>
      </c>
      <c r="C1356" s="3" t="s">
        <v>4068</v>
      </c>
      <c r="D1356" s="5" t="s">
        <v>8</v>
      </c>
      <c r="E1356" s="6">
        <f>VALUE(3749.06)</f>
        <v>3749.06</v>
      </c>
      <c r="F1356" s="5" t="s">
        <v>10</v>
      </c>
    </row>
    <row r="1357" spans="1:6" ht="58">
      <c r="A1357" s="1" t="s">
        <v>4069</v>
      </c>
      <c r="B1357" s="4" t="s">
        <v>4070</v>
      </c>
      <c r="C1357" s="3" t="s">
        <v>4071</v>
      </c>
      <c r="D1357" s="5" t="s">
        <v>8</v>
      </c>
      <c r="E1357" s="6">
        <f>VALUE(2811.56)</f>
        <v>2811.56</v>
      </c>
      <c r="F1357" s="5" t="s">
        <v>10</v>
      </c>
    </row>
    <row r="1358" spans="1:6" ht="58">
      <c r="A1358" s="1" t="s">
        <v>4072</v>
      </c>
      <c r="B1358" s="4" t="s">
        <v>4073</v>
      </c>
      <c r="C1358" s="3" t="s">
        <v>4074</v>
      </c>
      <c r="D1358" s="5" t="s">
        <v>8</v>
      </c>
      <c r="E1358" s="6">
        <f>VALUE(1874.06)</f>
        <v>1874.06</v>
      </c>
      <c r="F1358" s="5" t="s">
        <v>10</v>
      </c>
    </row>
    <row r="1359" spans="1:6" ht="58">
      <c r="A1359" s="1" t="s">
        <v>4075</v>
      </c>
      <c r="B1359" s="4" t="s">
        <v>4076</v>
      </c>
      <c r="C1359" s="3" t="s">
        <v>4077</v>
      </c>
      <c r="D1359" s="5" t="s">
        <v>8</v>
      </c>
      <c r="E1359" s="6">
        <f>VALUE(2811.56)</f>
        <v>2811.56</v>
      </c>
      <c r="F1359" s="5" t="s">
        <v>10</v>
      </c>
    </row>
    <row r="1360" spans="1:6" ht="58">
      <c r="A1360" s="1" t="s">
        <v>4078</v>
      </c>
      <c r="B1360" s="4" t="s">
        <v>4079</v>
      </c>
      <c r="C1360" s="3" t="s">
        <v>4080</v>
      </c>
      <c r="D1360" s="5" t="s">
        <v>8</v>
      </c>
      <c r="E1360" s="6">
        <f>VALUE(3374.06)</f>
        <v>3374.06</v>
      </c>
      <c r="F1360" s="5" t="s">
        <v>10</v>
      </c>
    </row>
    <row r="1361" spans="1:6" ht="58">
      <c r="A1361" s="1" t="s">
        <v>4081</v>
      </c>
      <c r="B1361" s="4" t="s">
        <v>4082</v>
      </c>
      <c r="C1361" s="3" t="s">
        <v>4083</v>
      </c>
      <c r="D1361" s="5" t="s">
        <v>8</v>
      </c>
      <c r="E1361" s="6">
        <f>VALUE(5624.06)</f>
        <v>5624.06</v>
      </c>
      <c r="F1361" s="5" t="s">
        <v>10</v>
      </c>
    </row>
    <row r="1362" spans="1:6" ht="58">
      <c r="A1362" s="1" t="s">
        <v>4084</v>
      </c>
      <c r="B1362" s="4" t="s">
        <v>4085</v>
      </c>
      <c r="C1362" s="3" t="s">
        <v>4086</v>
      </c>
      <c r="D1362" s="5" t="s">
        <v>8</v>
      </c>
      <c r="E1362" s="6">
        <f>VALUE(2249.06)</f>
        <v>2249.06</v>
      </c>
      <c r="F1362" s="5" t="s">
        <v>10</v>
      </c>
    </row>
    <row r="1363" spans="1:6" ht="58">
      <c r="A1363" s="1" t="s">
        <v>4087</v>
      </c>
      <c r="B1363" s="4" t="s">
        <v>4088</v>
      </c>
      <c r="C1363" s="3" t="s">
        <v>4089</v>
      </c>
      <c r="D1363" s="5" t="s">
        <v>8</v>
      </c>
      <c r="E1363" s="6">
        <f>VALUE(3749.06)</f>
        <v>3749.06</v>
      </c>
      <c r="F1363" s="5" t="s">
        <v>10</v>
      </c>
    </row>
    <row r="1364" spans="1:6" ht="58">
      <c r="A1364" s="1" t="s">
        <v>4090</v>
      </c>
      <c r="B1364" s="4" t="s">
        <v>4091</v>
      </c>
      <c r="C1364" s="3" t="s">
        <v>4092</v>
      </c>
      <c r="D1364" s="5" t="s">
        <v>8</v>
      </c>
      <c r="E1364" s="6">
        <f>VALUE(5624.06)</f>
        <v>5624.06</v>
      </c>
      <c r="F1364" s="5" t="s">
        <v>10</v>
      </c>
    </row>
    <row r="1365" spans="1:6" ht="58">
      <c r="A1365" s="1" t="s">
        <v>4093</v>
      </c>
      <c r="B1365" s="4" t="s">
        <v>4094</v>
      </c>
      <c r="C1365" s="3" t="s">
        <v>4095</v>
      </c>
      <c r="D1365" s="5" t="s">
        <v>8</v>
      </c>
      <c r="E1365" s="6">
        <f>VALUE(7499.06)</f>
        <v>7499.06</v>
      </c>
      <c r="F1365" s="5" t="s">
        <v>10</v>
      </c>
    </row>
    <row r="1366" spans="1:6" ht="58">
      <c r="A1366" s="1" t="s">
        <v>4096</v>
      </c>
      <c r="B1366" s="4" t="s">
        <v>4097</v>
      </c>
      <c r="C1366" s="3" t="s">
        <v>4098</v>
      </c>
      <c r="D1366" s="5" t="s">
        <v>8</v>
      </c>
      <c r="E1366" s="6">
        <f>VALUE(7500)</f>
        <v>7500</v>
      </c>
      <c r="F1366" s="5" t="s">
        <v>10</v>
      </c>
    </row>
    <row r="1367" spans="1:6" ht="58">
      <c r="A1367" s="1" t="s">
        <v>4099</v>
      </c>
      <c r="B1367" s="4" t="s">
        <v>4100</v>
      </c>
      <c r="C1367" s="3" t="s">
        <v>4101</v>
      </c>
      <c r="D1367" s="5" t="s">
        <v>8</v>
      </c>
      <c r="E1367" s="6">
        <f>VALUE(6750)</f>
        <v>6750</v>
      </c>
      <c r="F1367" s="5" t="s">
        <v>10</v>
      </c>
    </row>
    <row r="1368" spans="1:6" ht="58">
      <c r="A1368" s="1" t="s">
        <v>4102</v>
      </c>
      <c r="B1368" s="4" t="s">
        <v>4103</v>
      </c>
      <c r="C1368" s="3" t="s">
        <v>4104</v>
      </c>
      <c r="D1368" s="5" t="s">
        <v>8</v>
      </c>
      <c r="E1368" s="6">
        <f>VALUE(9375)</f>
        <v>9375</v>
      </c>
      <c r="F1368" s="5" t="s">
        <v>10</v>
      </c>
    </row>
    <row r="1369" spans="1:6" ht="58">
      <c r="A1369" s="1" t="s">
        <v>4105</v>
      </c>
      <c r="B1369" s="4" t="s">
        <v>4106</v>
      </c>
      <c r="C1369" s="3" t="s">
        <v>4107</v>
      </c>
      <c r="D1369" s="5" t="s">
        <v>8</v>
      </c>
      <c r="E1369" s="6">
        <f>VALUE(3937.5)</f>
        <v>3937.5</v>
      </c>
      <c r="F1369" s="5" t="s">
        <v>10</v>
      </c>
    </row>
    <row r="1370" spans="1:6" ht="58">
      <c r="A1370" s="1" t="s">
        <v>4108</v>
      </c>
      <c r="B1370" s="4" t="s">
        <v>4109</v>
      </c>
      <c r="C1370" s="3" t="s">
        <v>4110</v>
      </c>
      <c r="D1370" s="5" t="s">
        <v>8</v>
      </c>
      <c r="E1370" s="6">
        <f>VALUE(8436.56)</f>
        <v>8436.56</v>
      </c>
      <c r="F1370" s="5" t="s">
        <v>10</v>
      </c>
    </row>
    <row r="1371" spans="1:6" ht="58">
      <c r="A1371" s="1" t="s">
        <v>4111</v>
      </c>
      <c r="B1371" s="4" t="s">
        <v>4112</v>
      </c>
      <c r="C1371" s="3" t="s">
        <v>4113</v>
      </c>
      <c r="D1371" s="5" t="s">
        <v>8</v>
      </c>
      <c r="E1371" s="6">
        <f>VALUE(8811.56)</f>
        <v>8811.56</v>
      </c>
      <c r="F1371" s="5" t="s">
        <v>10</v>
      </c>
    </row>
    <row r="1372" spans="1:6" ht="58">
      <c r="A1372" s="1" t="s">
        <v>4114</v>
      </c>
      <c r="B1372" s="4" t="s">
        <v>4115</v>
      </c>
      <c r="C1372" s="3" t="s">
        <v>4116</v>
      </c>
      <c r="D1372" s="5" t="s">
        <v>8</v>
      </c>
      <c r="E1372" s="6">
        <f>VALUE(11249.06)</f>
        <v>11249.06</v>
      </c>
      <c r="F1372" s="5" t="s">
        <v>10</v>
      </c>
    </row>
    <row r="1373" spans="1:6" ht="43.5">
      <c r="A1373" s="1" t="s">
        <v>4117</v>
      </c>
      <c r="B1373" s="4" t="s">
        <v>4118</v>
      </c>
      <c r="C1373" s="3" t="s">
        <v>4119</v>
      </c>
      <c r="D1373" s="5" t="s">
        <v>8</v>
      </c>
      <c r="E1373" s="6">
        <f>VALUE(8436.56)</f>
        <v>8436.56</v>
      </c>
      <c r="F1373" s="5" t="s">
        <v>10</v>
      </c>
    </row>
    <row r="1374" spans="1:6" ht="72.5">
      <c r="A1374" s="1" t="s">
        <v>4120</v>
      </c>
      <c r="B1374" s="4" t="s">
        <v>4121</v>
      </c>
      <c r="C1374" s="3" t="s">
        <v>4122</v>
      </c>
      <c r="D1374" s="5" t="s">
        <v>8</v>
      </c>
      <c r="E1374" s="6">
        <f>VALUE(11249.06)</f>
        <v>11249.06</v>
      </c>
      <c r="F1374" s="5" t="s">
        <v>10</v>
      </c>
    </row>
    <row r="1375" spans="1:6" ht="58">
      <c r="A1375" s="1" t="s">
        <v>4123</v>
      </c>
      <c r="B1375" s="4" t="s">
        <v>4124</v>
      </c>
      <c r="C1375" s="3" t="s">
        <v>4125</v>
      </c>
      <c r="D1375" s="5" t="s">
        <v>8</v>
      </c>
      <c r="E1375" s="6">
        <f>VALUE(5624.06)</f>
        <v>5624.06</v>
      </c>
      <c r="F1375" s="5" t="s">
        <v>10</v>
      </c>
    </row>
    <row r="1376" spans="1:6" ht="58">
      <c r="A1376" s="1" t="s">
        <v>4126</v>
      </c>
      <c r="B1376" s="4" t="s">
        <v>4127</v>
      </c>
      <c r="C1376" s="3" t="s">
        <v>4128</v>
      </c>
      <c r="D1376" s="5" t="s">
        <v>8</v>
      </c>
      <c r="E1376" s="6">
        <f>VALUE(2249.06)</f>
        <v>2249.06</v>
      </c>
      <c r="F1376" s="5" t="s">
        <v>10</v>
      </c>
    </row>
    <row r="1377" spans="1:6" ht="58">
      <c r="A1377" s="1" t="s">
        <v>4129</v>
      </c>
      <c r="B1377" s="4" t="s">
        <v>4130</v>
      </c>
      <c r="C1377" s="3" t="s">
        <v>4131</v>
      </c>
      <c r="D1377" s="5" t="s">
        <v>8</v>
      </c>
      <c r="E1377" s="6">
        <f>VALUE(1874.06)</f>
        <v>1874.06</v>
      </c>
      <c r="F1377" s="5" t="s">
        <v>10</v>
      </c>
    </row>
    <row r="1378" spans="1:6" ht="58">
      <c r="A1378" s="1" t="s">
        <v>4132</v>
      </c>
      <c r="B1378" s="4" t="s">
        <v>4133</v>
      </c>
      <c r="C1378" s="3" t="s">
        <v>4134</v>
      </c>
      <c r="D1378" s="5" t="s">
        <v>8</v>
      </c>
      <c r="E1378" s="6">
        <f>VALUE(7499.06)</f>
        <v>7499.06</v>
      </c>
      <c r="F1378" s="5" t="s">
        <v>10</v>
      </c>
    </row>
    <row r="1379" spans="1:6" ht="58">
      <c r="A1379" s="1" t="s">
        <v>4135</v>
      </c>
      <c r="B1379" s="4" t="s">
        <v>4136</v>
      </c>
      <c r="C1379" s="3" t="s">
        <v>4137</v>
      </c>
      <c r="D1379" s="5" t="s">
        <v>8</v>
      </c>
      <c r="E1379" s="6">
        <f>VALUE(5624.06)</f>
        <v>5624.06</v>
      </c>
      <c r="F1379" s="5" t="s">
        <v>10</v>
      </c>
    </row>
    <row r="1380" spans="1:6" ht="58">
      <c r="A1380" s="1" t="s">
        <v>4138</v>
      </c>
      <c r="B1380" s="4" t="s">
        <v>4139</v>
      </c>
      <c r="C1380" s="3" t="s">
        <v>4140</v>
      </c>
      <c r="D1380" s="5" t="s">
        <v>8</v>
      </c>
      <c r="E1380" s="6">
        <f>VALUE(3749.06)</f>
        <v>3749.06</v>
      </c>
      <c r="F1380" s="5" t="s">
        <v>10</v>
      </c>
    </row>
    <row r="1381" spans="1:6" ht="58">
      <c r="A1381" s="1" t="s">
        <v>4141</v>
      </c>
      <c r="B1381" s="4" t="s">
        <v>4142</v>
      </c>
      <c r="C1381" s="3" t="s">
        <v>4143</v>
      </c>
      <c r="D1381" s="5" t="s">
        <v>8</v>
      </c>
      <c r="E1381" s="6">
        <f>VALUE(5624.06)</f>
        <v>5624.06</v>
      </c>
      <c r="F1381" s="5" t="s">
        <v>10</v>
      </c>
    </row>
    <row r="1382" spans="1:6" ht="58">
      <c r="A1382" s="1" t="s">
        <v>4144</v>
      </c>
      <c r="B1382" s="4" t="s">
        <v>4145</v>
      </c>
      <c r="C1382" s="3" t="s">
        <v>4146</v>
      </c>
      <c r="D1382" s="5" t="s">
        <v>8</v>
      </c>
      <c r="E1382" s="6">
        <f>VALUE(6749.06)</f>
        <v>6749.06</v>
      </c>
      <c r="F1382" s="5" t="s">
        <v>10</v>
      </c>
    </row>
    <row r="1383" spans="1:6" ht="58">
      <c r="A1383" s="1" t="s">
        <v>4147</v>
      </c>
      <c r="B1383" s="4" t="s">
        <v>4148</v>
      </c>
      <c r="C1383" s="3" t="s">
        <v>4149</v>
      </c>
      <c r="D1383" s="5" t="s">
        <v>8</v>
      </c>
      <c r="E1383" s="6">
        <f>VALUE(14999.06)</f>
        <v>14999.06</v>
      </c>
      <c r="F1383" s="5" t="s">
        <v>10</v>
      </c>
    </row>
    <row r="1384" spans="1:6" ht="58">
      <c r="A1384" s="1" t="s">
        <v>4150</v>
      </c>
      <c r="B1384" s="4" t="s">
        <v>4151</v>
      </c>
      <c r="C1384" s="3" t="s">
        <v>4152</v>
      </c>
      <c r="D1384" s="5" t="s">
        <v>8</v>
      </c>
      <c r="E1384" s="6">
        <f>VALUE(8062.5)</f>
        <v>8062.5</v>
      </c>
      <c r="F1384" s="5" t="s">
        <v>10</v>
      </c>
    </row>
    <row r="1385" spans="1:6" ht="58">
      <c r="A1385" s="1" t="s">
        <v>4153</v>
      </c>
      <c r="B1385" s="4" t="s">
        <v>4154</v>
      </c>
      <c r="C1385" s="3" t="s">
        <v>4155</v>
      </c>
      <c r="D1385" s="5" t="s">
        <v>8</v>
      </c>
      <c r="E1385" s="6">
        <f>VALUE(8437.5)</f>
        <v>8437.5</v>
      </c>
      <c r="F1385" s="5" t="s">
        <v>10</v>
      </c>
    </row>
    <row r="1386" spans="1:6" ht="58">
      <c r="A1386" s="1" t="s">
        <v>4156</v>
      </c>
      <c r="B1386" s="4" t="s">
        <v>4157</v>
      </c>
      <c r="C1386" s="3" t="s">
        <v>4158</v>
      </c>
      <c r="D1386" s="5" t="s">
        <v>8</v>
      </c>
      <c r="E1386" s="6">
        <f>VALUE(16500)</f>
        <v>16500</v>
      </c>
      <c r="F1386" s="5" t="s">
        <v>10</v>
      </c>
    </row>
    <row r="1387" spans="1:6" ht="58">
      <c r="A1387" s="1" t="s">
        <v>4159</v>
      </c>
      <c r="B1387" s="4" t="s">
        <v>4160</v>
      </c>
      <c r="C1387" s="3" t="s">
        <v>4161</v>
      </c>
      <c r="D1387" s="5" t="s">
        <v>8</v>
      </c>
      <c r="E1387" s="6">
        <f>VALUE(17250)</f>
        <v>17250</v>
      </c>
      <c r="F1387" s="5" t="s">
        <v>10</v>
      </c>
    </row>
    <row r="1388" spans="1:6" ht="43.5">
      <c r="A1388" s="1" t="s">
        <v>4162</v>
      </c>
      <c r="B1388" s="4" t="s">
        <v>4163</v>
      </c>
      <c r="C1388" s="3" t="s">
        <v>4164</v>
      </c>
      <c r="D1388" s="5" t="s">
        <v>8</v>
      </c>
      <c r="E1388" s="6">
        <f>VALUE(3656.25)</f>
        <v>3656.25</v>
      </c>
      <c r="F1388" s="5" t="s">
        <v>10</v>
      </c>
    </row>
    <row r="1389" spans="1:6" ht="43.5">
      <c r="A1389" s="1" t="s">
        <v>4165</v>
      </c>
      <c r="B1389" s="4" t="s">
        <v>4166</v>
      </c>
      <c r="C1389" s="3" t="s">
        <v>4167</v>
      </c>
      <c r="D1389" s="5" t="s">
        <v>8</v>
      </c>
      <c r="E1389" s="6">
        <f>VALUE(9187.5)</f>
        <v>9187.5</v>
      </c>
      <c r="F1389" s="5" t="s">
        <v>10</v>
      </c>
    </row>
    <row r="1390" spans="1:6" ht="43.5">
      <c r="A1390" s="1" t="s">
        <v>4168</v>
      </c>
      <c r="B1390" s="4" t="s">
        <v>4169</v>
      </c>
      <c r="C1390" s="3" t="s">
        <v>4170</v>
      </c>
      <c r="D1390" s="5" t="s">
        <v>8</v>
      </c>
      <c r="E1390" s="6">
        <f>VALUE(7875)</f>
        <v>7875</v>
      </c>
      <c r="F1390" s="5" t="s">
        <v>10</v>
      </c>
    </row>
    <row r="1391" spans="1:6" ht="58">
      <c r="A1391" s="1" t="s">
        <v>4171</v>
      </c>
      <c r="B1391" s="4" t="s">
        <v>4172</v>
      </c>
      <c r="C1391" s="3" t="s">
        <v>4173</v>
      </c>
      <c r="D1391" s="5" t="s">
        <v>8</v>
      </c>
      <c r="E1391" s="6">
        <f>VALUE(11625)</f>
        <v>11625</v>
      </c>
      <c r="F1391" s="5" t="s">
        <v>10</v>
      </c>
    </row>
    <row r="1392" spans="1:6" ht="43.5">
      <c r="A1392" s="1" t="s">
        <v>4174</v>
      </c>
      <c r="B1392" s="4" t="s">
        <v>4175</v>
      </c>
      <c r="C1392" s="3" t="s">
        <v>4176</v>
      </c>
      <c r="D1392" s="5" t="s">
        <v>8</v>
      </c>
      <c r="E1392" s="6">
        <f>VALUE(11062.5)</f>
        <v>11062.5</v>
      </c>
      <c r="F1392" s="5" t="s">
        <v>10</v>
      </c>
    </row>
    <row r="1393" spans="1:6" ht="43.5">
      <c r="A1393" s="1" t="s">
        <v>4177</v>
      </c>
      <c r="B1393" s="4" t="s">
        <v>4178</v>
      </c>
      <c r="C1393" s="3" t="s">
        <v>4179</v>
      </c>
      <c r="D1393" s="5" t="s">
        <v>8</v>
      </c>
      <c r="E1393" s="6">
        <f>VALUE(23436.56)</f>
        <v>23436.560000000001</v>
      </c>
      <c r="F1393" s="5" t="s">
        <v>10</v>
      </c>
    </row>
    <row r="1394" spans="1:6" ht="58">
      <c r="A1394" s="1" t="s">
        <v>4180</v>
      </c>
      <c r="B1394" s="4" t="s">
        <v>4181</v>
      </c>
      <c r="C1394" s="3" t="s">
        <v>4182</v>
      </c>
      <c r="D1394" s="5" t="s">
        <v>8</v>
      </c>
      <c r="E1394" s="6">
        <f>VALUE(17811.56)</f>
        <v>17811.560000000001</v>
      </c>
      <c r="F1394" s="5" t="s">
        <v>10</v>
      </c>
    </row>
    <row r="1395" spans="1:6" ht="58">
      <c r="A1395" s="1" t="s">
        <v>4183</v>
      </c>
      <c r="B1395" s="4" t="s">
        <v>4184</v>
      </c>
      <c r="C1395" s="3" t="s">
        <v>4185</v>
      </c>
      <c r="D1395" s="5" t="s">
        <v>8</v>
      </c>
      <c r="E1395" s="6">
        <f>VALUE(17811.56)</f>
        <v>17811.560000000001</v>
      </c>
      <c r="F1395" s="5" t="s">
        <v>10</v>
      </c>
    </row>
    <row r="1396" spans="1:6" ht="58">
      <c r="A1396" s="1" t="s">
        <v>4186</v>
      </c>
      <c r="B1396" s="4" t="s">
        <v>4187</v>
      </c>
      <c r="C1396" s="3" t="s">
        <v>4188</v>
      </c>
      <c r="D1396" s="5" t="s">
        <v>8</v>
      </c>
      <c r="E1396" s="6">
        <f>VALUE(18749.06)</f>
        <v>18749.060000000001</v>
      </c>
      <c r="F1396" s="5" t="s">
        <v>10</v>
      </c>
    </row>
    <row r="1397" spans="1:6" ht="58">
      <c r="A1397" s="1" t="s">
        <v>4189</v>
      </c>
      <c r="B1397" s="4" t="s">
        <v>4190</v>
      </c>
      <c r="C1397" s="3" t="s">
        <v>4191</v>
      </c>
      <c r="D1397" s="5" t="s">
        <v>8</v>
      </c>
      <c r="E1397" s="6">
        <f>VALUE(9186.56)</f>
        <v>9186.56</v>
      </c>
      <c r="F1397" s="5" t="s">
        <v>10</v>
      </c>
    </row>
    <row r="1398" spans="1:6" ht="58">
      <c r="A1398" s="1" t="s">
        <v>4192</v>
      </c>
      <c r="B1398" s="4" t="s">
        <v>4193</v>
      </c>
      <c r="C1398" s="3" t="s">
        <v>4194</v>
      </c>
      <c r="D1398" s="5" t="s">
        <v>8</v>
      </c>
      <c r="E1398" s="6">
        <f>VALUE(3374.06)</f>
        <v>3374.06</v>
      </c>
      <c r="F1398" s="5" t="s">
        <v>10</v>
      </c>
    </row>
    <row r="1399" spans="1:6" ht="58">
      <c r="A1399" s="1" t="s">
        <v>4195</v>
      </c>
      <c r="B1399" s="4" t="s">
        <v>4196</v>
      </c>
      <c r="C1399" s="3" t="s">
        <v>4197</v>
      </c>
      <c r="D1399" s="5" t="s">
        <v>8</v>
      </c>
      <c r="E1399" s="6">
        <f>VALUE(2811.56)</f>
        <v>2811.56</v>
      </c>
      <c r="F1399" s="5" t="s">
        <v>10</v>
      </c>
    </row>
    <row r="1400" spans="1:6" ht="58">
      <c r="A1400" s="1" t="s">
        <v>4198</v>
      </c>
      <c r="B1400" s="4" t="s">
        <v>4199</v>
      </c>
      <c r="C1400" s="3" t="s">
        <v>4200</v>
      </c>
      <c r="D1400" s="5" t="s">
        <v>8</v>
      </c>
      <c r="E1400" s="6">
        <f>VALUE(1686.56)</f>
        <v>1686.56</v>
      </c>
      <c r="F1400" s="5" t="s">
        <v>10</v>
      </c>
    </row>
    <row r="1401" spans="1:6" ht="58">
      <c r="A1401" s="1" t="s">
        <v>4201</v>
      </c>
      <c r="B1401" s="4" t="s">
        <v>4202</v>
      </c>
      <c r="C1401" s="3" t="s">
        <v>4203</v>
      </c>
      <c r="D1401" s="5" t="s">
        <v>8</v>
      </c>
      <c r="E1401" s="6">
        <f>VALUE(1311.56)</f>
        <v>1311.56</v>
      </c>
      <c r="F1401" s="5" t="s">
        <v>10</v>
      </c>
    </row>
    <row r="1402" spans="1:6" ht="58">
      <c r="A1402" s="1" t="s">
        <v>4204</v>
      </c>
      <c r="B1402" s="4" t="s">
        <v>4205</v>
      </c>
      <c r="C1402" s="3" t="s">
        <v>4206</v>
      </c>
      <c r="D1402" s="5" t="s">
        <v>8</v>
      </c>
      <c r="E1402" s="6">
        <f>VALUE(5624.06)</f>
        <v>5624.06</v>
      </c>
      <c r="F1402" s="5" t="s">
        <v>10</v>
      </c>
    </row>
    <row r="1403" spans="1:6" ht="58">
      <c r="A1403" s="1" t="s">
        <v>4207</v>
      </c>
      <c r="B1403" s="4" t="s">
        <v>4208</v>
      </c>
      <c r="C1403" s="3" t="s">
        <v>4209</v>
      </c>
      <c r="D1403" s="5" t="s">
        <v>8</v>
      </c>
      <c r="E1403" s="6">
        <f>VALUE(2811.56)</f>
        <v>2811.56</v>
      </c>
      <c r="F1403" s="5" t="s">
        <v>10</v>
      </c>
    </row>
    <row r="1404" spans="1:6" ht="58">
      <c r="A1404" s="1" t="s">
        <v>4210</v>
      </c>
      <c r="B1404" s="4" t="s">
        <v>4211</v>
      </c>
      <c r="C1404" s="3" t="s">
        <v>4212</v>
      </c>
      <c r="D1404" s="5" t="s">
        <v>8</v>
      </c>
      <c r="E1404" s="6">
        <f>VALUE(1874.06)</f>
        <v>1874.06</v>
      </c>
      <c r="F1404" s="5" t="s">
        <v>10</v>
      </c>
    </row>
    <row r="1405" spans="1:6" ht="58">
      <c r="A1405" s="1" t="s">
        <v>4213</v>
      </c>
      <c r="B1405" s="4" t="s">
        <v>4214</v>
      </c>
      <c r="C1405" s="3" t="s">
        <v>4215</v>
      </c>
      <c r="D1405" s="5" t="s">
        <v>8</v>
      </c>
      <c r="E1405" s="6">
        <f>VALUE(3749.06)</f>
        <v>3749.06</v>
      </c>
      <c r="F1405" s="5" t="s">
        <v>10</v>
      </c>
    </row>
    <row r="1406" spans="1:6" ht="58">
      <c r="A1406" s="1" t="s">
        <v>4216</v>
      </c>
      <c r="B1406" s="4" t="s">
        <v>4217</v>
      </c>
      <c r="C1406" s="3" t="s">
        <v>4218</v>
      </c>
      <c r="D1406" s="5" t="s">
        <v>8</v>
      </c>
      <c r="E1406" s="6">
        <f>VALUE(5624.06)</f>
        <v>5624.06</v>
      </c>
      <c r="F1406" s="5" t="s">
        <v>10</v>
      </c>
    </row>
    <row r="1407" spans="1:6" ht="58">
      <c r="A1407" s="1" t="s">
        <v>4219</v>
      </c>
      <c r="B1407" s="4" t="s">
        <v>4220</v>
      </c>
      <c r="C1407" s="3" t="s">
        <v>4221</v>
      </c>
      <c r="D1407" s="5" t="s">
        <v>8</v>
      </c>
      <c r="E1407" s="6">
        <f>VALUE(7499.06)</f>
        <v>7499.06</v>
      </c>
      <c r="F1407" s="5" t="s">
        <v>10</v>
      </c>
    </row>
    <row r="1408" spans="1:6" ht="58">
      <c r="A1408" s="1" t="s">
        <v>4222</v>
      </c>
      <c r="B1408" s="4" t="s">
        <v>4223</v>
      </c>
      <c r="C1408" s="3" t="s">
        <v>4224</v>
      </c>
      <c r="D1408" s="5" t="s">
        <v>8</v>
      </c>
      <c r="E1408" s="6">
        <f>VALUE(2811.56)</f>
        <v>2811.56</v>
      </c>
      <c r="F1408" s="5" t="s">
        <v>10</v>
      </c>
    </row>
    <row r="1409" spans="1:6" ht="43.5">
      <c r="A1409" s="1" t="s">
        <v>4225</v>
      </c>
      <c r="B1409" s="4" t="s">
        <v>4226</v>
      </c>
      <c r="C1409" s="3" t="s">
        <v>4227</v>
      </c>
      <c r="D1409" s="5" t="s">
        <v>8</v>
      </c>
      <c r="E1409" s="6">
        <f>VALUE(280.31)</f>
        <v>280.31</v>
      </c>
      <c r="F1409" s="5" t="s">
        <v>10</v>
      </c>
    </row>
    <row r="1410" spans="1:6" ht="58">
      <c r="A1410" s="1" t="s">
        <v>4228</v>
      </c>
      <c r="B1410" s="4" t="s">
        <v>4229</v>
      </c>
      <c r="C1410" s="3" t="s">
        <v>4230</v>
      </c>
      <c r="D1410" s="5" t="s">
        <v>8</v>
      </c>
      <c r="E1410" s="6">
        <f>VALUE(280.31)</f>
        <v>280.31</v>
      </c>
      <c r="F1410" s="5" t="s">
        <v>10</v>
      </c>
    </row>
    <row r="1411" spans="1:6" ht="43.5">
      <c r="A1411" s="1" t="s">
        <v>4231</v>
      </c>
      <c r="B1411" s="4" t="s">
        <v>4232</v>
      </c>
      <c r="C1411" s="3" t="s">
        <v>4233</v>
      </c>
      <c r="D1411" s="5" t="s">
        <v>8</v>
      </c>
      <c r="E1411" s="6">
        <f>VALUE(317.81)</f>
        <v>317.81</v>
      </c>
      <c r="F1411" s="5" t="s">
        <v>10</v>
      </c>
    </row>
    <row r="1412" spans="1:6" ht="58">
      <c r="A1412" s="1" t="s">
        <v>4234</v>
      </c>
      <c r="B1412" s="4" t="s">
        <v>4235</v>
      </c>
      <c r="C1412" s="3" t="s">
        <v>4236</v>
      </c>
      <c r="D1412" s="5" t="s">
        <v>8</v>
      </c>
      <c r="E1412" s="6">
        <f>VALUE(411.56)</f>
        <v>411.56</v>
      </c>
      <c r="F1412" s="5" t="s">
        <v>10</v>
      </c>
    </row>
    <row r="1413" spans="1:6" ht="58">
      <c r="A1413" s="1" t="s">
        <v>4237</v>
      </c>
      <c r="B1413" s="4" t="s">
        <v>4238</v>
      </c>
      <c r="C1413" s="3" t="s">
        <v>4239</v>
      </c>
      <c r="D1413" s="5" t="s">
        <v>8</v>
      </c>
      <c r="E1413" s="6">
        <f>VALUE(411.56)</f>
        <v>411.56</v>
      </c>
      <c r="F1413" s="5" t="s">
        <v>10</v>
      </c>
    </row>
    <row r="1414" spans="1:6" ht="58">
      <c r="A1414" s="1" t="s">
        <v>4240</v>
      </c>
      <c r="B1414" s="4" t="s">
        <v>4241</v>
      </c>
      <c r="C1414" s="3" t="s">
        <v>4242</v>
      </c>
      <c r="D1414" s="5" t="s">
        <v>8</v>
      </c>
      <c r="E1414" s="6">
        <f>VALUE(449.06)</f>
        <v>449.06</v>
      </c>
      <c r="F1414" s="5" t="s">
        <v>10</v>
      </c>
    </row>
    <row r="1415" spans="1:6" ht="58">
      <c r="A1415" s="1" t="s">
        <v>4243</v>
      </c>
      <c r="B1415" s="4" t="s">
        <v>4244</v>
      </c>
      <c r="C1415" s="3" t="s">
        <v>4245</v>
      </c>
      <c r="D1415" s="5" t="s">
        <v>8</v>
      </c>
      <c r="E1415" s="6">
        <f>VALUE(375)</f>
        <v>375</v>
      </c>
      <c r="F1415" s="5" t="s">
        <v>10</v>
      </c>
    </row>
    <row r="1416" spans="1:6" ht="58">
      <c r="A1416" s="1" t="s">
        <v>4246</v>
      </c>
      <c r="B1416" s="4" t="s">
        <v>4247</v>
      </c>
      <c r="C1416" s="3" t="s">
        <v>4248</v>
      </c>
      <c r="D1416" s="5" t="s">
        <v>8</v>
      </c>
      <c r="E1416" s="6">
        <f>VALUE(1875)</f>
        <v>1875</v>
      </c>
      <c r="F1416" s="5" t="s">
        <v>10</v>
      </c>
    </row>
    <row r="1417" spans="1:6" ht="58">
      <c r="A1417" s="1" t="s">
        <v>4249</v>
      </c>
      <c r="B1417" s="4" t="s">
        <v>4250</v>
      </c>
      <c r="C1417" s="3" t="s">
        <v>4251</v>
      </c>
      <c r="D1417" s="5" t="s">
        <v>8</v>
      </c>
      <c r="E1417" s="6">
        <f>VALUE(6186.56)</f>
        <v>6186.56</v>
      </c>
      <c r="F1417" s="5" t="s">
        <v>10</v>
      </c>
    </row>
    <row r="1418" spans="1:6" ht="58">
      <c r="A1418" s="1" t="s">
        <v>4252</v>
      </c>
      <c r="B1418" s="4" t="s">
        <v>4253</v>
      </c>
      <c r="C1418" s="3" t="s">
        <v>4254</v>
      </c>
      <c r="D1418" s="5" t="s">
        <v>8</v>
      </c>
      <c r="E1418" s="6">
        <f>VALUE(2811.56)</f>
        <v>2811.56</v>
      </c>
      <c r="F1418" s="5" t="s">
        <v>10</v>
      </c>
    </row>
    <row r="1419" spans="1:6" ht="58">
      <c r="A1419" s="1" t="s">
        <v>4255</v>
      </c>
      <c r="B1419" s="4" t="s">
        <v>4256</v>
      </c>
      <c r="C1419" s="3" t="s">
        <v>4257</v>
      </c>
      <c r="D1419" s="5" t="s">
        <v>8</v>
      </c>
      <c r="E1419" s="6">
        <f>VALUE(4686.56)</f>
        <v>4686.5600000000004</v>
      </c>
      <c r="F1419" s="5" t="s">
        <v>10</v>
      </c>
    </row>
    <row r="1420" spans="1:6" ht="58">
      <c r="A1420" s="1" t="s">
        <v>4258</v>
      </c>
      <c r="B1420" s="4" t="s">
        <v>4259</v>
      </c>
      <c r="C1420" s="3" t="s">
        <v>4260</v>
      </c>
      <c r="D1420" s="5" t="s">
        <v>8</v>
      </c>
      <c r="E1420" s="6">
        <f>VALUE(9374.06)</f>
        <v>9374.06</v>
      </c>
      <c r="F1420" s="5" t="s">
        <v>10</v>
      </c>
    </row>
    <row r="1421" spans="1:6" ht="58">
      <c r="A1421" s="1" t="s">
        <v>4261</v>
      </c>
      <c r="B1421" s="4" t="s">
        <v>4262</v>
      </c>
      <c r="C1421" s="3" t="s">
        <v>4263</v>
      </c>
      <c r="D1421" s="5" t="s">
        <v>8</v>
      </c>
      <c r="E1421" s="6">
        <f>VALUE(1874.06)</f>
        <v>1874.06</v>
      </c>
      <c r="F1421" s="5" t="s">
        <v>10</v>
      </c>
    </row>
    <row r="1422" spans="1:6" ht="58">
      <c r="A1422" s="1" t="s">
        <v>4264</v>
      </c>
      <c r="B1422" s="4" t="s">
        <v>4265</v>
      </c>
      <c r="C1422" s="3" t="s">
        <v>4266</v>
      </c>
      <c r="D1422" s="5" t="s">
        <v>8</v>
      </c>
      <c r="E1422" s="6">
        <f>VALUE(1874.06)</f>
        <v>1874.06</v>
      </c>
      <c r="F1422" s="5" t="s">
        <v>10</v>
      </c>
    </row>
    <row r="1423" spans="1:6" ht="58">
      <c r="A1423" s="1" t="s">
        <v>4267</v>
      </c>
      <c r="B1423" s="4" t="s">
        <v>4268</v>
      </c>
      <c r="C1423" s="3" t="s">
        <v>4269</v>
      </c>
      <c r="D1423" s="5" t="s">
        <v>8</v>
      </c>
      <c r="E1423" s="6">
        <f>VALUE(1874.06)</f>
        <v>1874.06</v>
      </c>
      <c r="F1423" s="5" t="s">
        <v>10</v>
      </c>
    </row>
    <row r="1424" spans="1:6" ht="72.5">
      <c r="A1424" s="1" t="s">
        <v>4270</v>
      </c>
      <c r="B1424" s="4" t="s">
        <v>4271</v>
      </c>
      <c r="C1424" s="3" t="s">
        <v>4272</v>
      </c>
      <c r="D1424" s="5" t="s">
        <v>8</v>
      </c>
      <c r="E1424" s="6">
        <f>VALUE(6561.56)</f>
        <v>6561.56</v>
      </c>
      <c r="F1424" s="5" t="s">
        <v>10</v>
      </c>
    </row>
    <row r="1425" spans="1:6" ht="58">
      <c r="A1425" s="1" t="s">
        <v>4273</v>
      </c>
      <c r="B1425" s="4" t="s">
        <v>4274</v>
      </c>
      <c r="C1425" s="3" t="s">
        <v>4275</v>
      </c>
      <c r="D1425" s="5" t="s">
        <v>8</v>
      </c>
      <c r="E1425" s="6">
        <f>VALUE(4686.56)</f>
        <v>4686.5600000000004</v>
      </c>
      <c r="F1425" s="5" t="s">
        <v>10</v>
      </c>
    </row>
    <row r="1426" spans="1:6" ht="58">
      <c r="A1426" s="1" t="s">
        <v>4276</v>
      </c>
      <c r="B1426" s="4" t="s">
        <v>4277</v>
      </c>
      <c r="C1426" s="3" t="s">
        <v>4278</v>
      </c>
      <c r="D1426" s="5" t="s">
        <v>8</v>
      </c>
      <c r="E1426" s="6">
        <f>VALUE(936.56)</f>
        <v>936.56</v>
      </c>
      <c r="F1426" s="5" t="s">
        <v>10</v>
      </c>
    </row>
    <row r="1427" spans="1:6" ht="58">
      <c r="A1427" s="1" t="s">
        <v>4279</v>
      </c>
      <c r="B1427" s="4" t="s">
        <v>4280</v>
      </c>
      <c r="C1427" s="3" t="s">
        <v>4281</v>
      </c>
      <c r="D1427" s="5" t="s">
        <v>8</v>
      </c>
      <c r="E1427" s="6">
        <f>VALUE(3749.06)</f>
        <v>3749.06</v>
      </c>
      <c r="F1427" s="5" t="s">
        <v>10</v>
      </c>
    </row>
    <row r="1428" spans="1:6" ht="58">
      <c r="A1428" s="1" t="s">
        <v>4282</v>
      </c>
      <c r="B1428" s="4" t="s">
        <v>4283</v>
      </c>
      <c r="C1428" s="3" t="s">
        <v>4284</v>
      </c>
      <c r="D1428" s="5" t="s">
        <v>8</v>
      </c>
      <c r="E1428" s="6">
        <f>VALUE(5624.06)</f>
        <v>5624.06</v>
      </c>
      <c r="F1428" s="5" t="s">
        <v>10</v>
      </c>
    </row>
    <row r="1429" spans="1:6" ht="58">
      <c r="A1429" s="1" t="s">
        <v>4285</v>
      </c>
      <c r="B1429" s="4" t="s">
        <v>4286</v>
      </c>
      <c r="C1429" s="3" t="s">
        <v>4287</v>
      </c>
      <c r="D1429" s="5" t="s">
        <v>8</v>
      </c>
      <c r="E1429" s="6">
        <f>VALUE(11249.06)</f>
        <v>11249.06</v>
      </c>
      <c r="F1429" s="5" t="s">
        <v>10</v>
      </c>
    </row>
    <row r="1430" spans="1:6" ht="58">
      <c r="A1430" s="1" t="s">
        <v>4288</v>
      </c>
      <c r="B1430" s="4" t="s">
        <v>4289</v>
      </c>
      <c r="C1430" s="3" t="s">
        <v>4290</v>
      </c>
      <c r="D1430" s="5" t="s">
        <v>8</v>
      </c>
      <c r="E1430" s="6">
        <f>VALUE(37499.06)</f>
        <v>37499.06</v>
      </c>
      <c r="F1430" s="5" t="s">
        <v>10</v>
      </c>
    </row>
    <row r="1431" spans="1:6" ht="58">
      <c r="A1431" s="1" t="s">
        <v>4291</v>
      </c>
      <c r="B1431" s="4" t="s">
        <v>4292</v>
      </c>
      <c r="C1431" s="3" t="s">
        <v>4293</v>
      </c>
      <c r="D1431" s="5" t="s">
        <v>8</v>
      </c>
      <c r="E1431" s="6">
        <f>VALUE(1874.06)</f>
        <v>1874.06</v>
      </c>
      <c r="F1431" s="5" t="s">
        <v>10</v>
      </c>
    </row>
    <row r="1432" spans="1:6" ht="58">
      <c r="A1432" s="1" t="s">
        <v>4294</v>
      </c>
      <c r="B1432" s="4" t="s">
        <v>4295</v>
      </c>
      <c r="C1432" s="3" t="s">
        <v>4296</v>
      </c>
      <c r="D1432" s="5" t="s">
        <v>8</v>
      </c>
      <c r="E1432" s="6">
        <f>VALUE(3749.06)</f>
        <v>3749.06</v>
      </c>
      <c r="F1432" s="5" t="s">
        <v>10</v>
      </c>
    </row>
    <row r="1433" spans="1:6" ht="58">
      <c r="A1433" s="1" t="s">
        <v>4297</v>
      </c>
      <c r="B1433" s="4" t="s">
        <v>4298</v>
      </c>
      <c r="C1433" s="3" t="s">
        <v>4299</v>
      </c>
      <c r="D1433" s="5" t="s">
        <v>8</v>
      </c>
      <c r="E1433" s="6">
        <f>VALUE(11249.06)</f>
        <v>11249.06</v>
      </c>
      <c r="F1433" s="5" t="s">
        <v>10</v>
      </c>
    </row>
    <row r="1434" spans="1:6" ht="58">
      <c r="A1434" s="1" t="s">
        <v>4300</v>
      </c>
      <c r="B1434" s="4" t="s">
        <v>4301</v>
      </c>
      <c r="C1434" s="3" t="s">
        <v>4302</v>
      </c>
      <c r="D1434" s="5" t="s">
        <v>8</v>
      </c>
      <c r="E1434" s="6">
        <f>VALUE(6248.75)</f>
        <v>6248.75</v>
      </c>
      <c r="F1434" s="5" t="s">
        <v>10</v>
      </c>
    </row>
    <row r="1435" spans="1:6" ht="58">
      <c r="A1435" s="1" t="s">
        <v>4303</v>
      </c>
      <c r="B1435" s="4" t="s">
        <v>4304</v>
      </c>
      <c r="C1435" s="3" t="s">
        <v>4305</v>
      </c>
      <c r="D1435" s="5" t="s">
        <v>8</v>
      </c>
      <c r="E1435" s="6">
        <f>VALUE(6498.75)</f>
        <v>6498.75</v>
      </c>
      <c r="F1435" s="5" t="s">
        <v>10</v>
      </c>
    </row>
    <row r="1436" spans="1:6" ht="58">
      <c r="A1436" s="1" t="s">
        <v>4306</v>
      </c>
      <c r="B1436" s="4" t="s">
        <v>4307</v>
      </c>
      <c r="C1436" s="3" t="s">
        <v>4308</v>
      </c>
      <c r="D1436" s="5" t="s">
        <v>8</v>
      </c>
      <c r="E1436" s="6">
        <f>VALUE(3623.75)</f>
        <v>3623.75</v>
      </c>
      <c r="F1436" s="5" t="s">
        <v>10</v>
      </c>
    </row>
    <row r="1437" spans="1:6" ht="58">
      <c r="A1437" s="1" t="s">
        <v>4309</v>
      </c>
      <c r="B1437" s="4" t="s">
        <v>4310</v>
      </c>
      <c r="C1437" s="3" t="s">
        <v>4311</v>
      </c>
      <c r="D1437" s="5" t="s">
        <v>8</v>
      </c>
      <c r="E1437" s="6">
        <f>VALUE(3873.75)</f>
        <v>3873.75</v>
      </c>
      <c r="F1437" s="5" t="s">
        <v>10</v>
      </c>
    </row>
    <row r="1438" spans="1:6" ht="58">
      <c r="A1438" s="1" t="s">
        <v>4312</v>
      </c>
      <c r="B1438" s="4" t="s">
        <v>4313</v>
      </c>
      <c r="C1438" s="3" t="s">
        <v>4314</v>
      </c>
      <c r="D1438" s="5" t="s">
        <v>8</v>
      </c>
      <c r="E1438" s="6">
        <f>VALUE(7498.75)</f>
        <v>7498.75</v>
      </c>
      <c r="F1438" s="5" t="s">
        <v>10</v>
      </c>
    </row>
    <row r="1439" spans="1:6" ht="58">
      <c r="A1439" s="1" t="s">
        <v>4315</v>
      </c>
      <c r="B1439" s="4" t="s">
        <v>4316</v>
      </c>
      <c r="C1439" s="3" t="s">
        <v>4317</v>
      </c>
      <c r="D1439" s="5" t="s">
        <v>8</v>
      </c>
      <c r="E1439" s="6">
        <f>VALUE(7748.75)</f>
        <v>7748.75</v>
      </c>
      <c r="F1439" s="5" t="s">
        <v>10</v>
      </c>
    </row>
    <row r="1440" spans="1:6" ht="58">
      <c r="A1440" s="1" t="s">
        <v>4318</v>
      </c>
      <c r="B1440" s="4" t="s">
        <v>4319</v>
      </c>
      <c r="C1440" s="3" t="s">
        <v>4320</v>
      </c>
      <c r="D1440" s="5" t="s">
        <v>8</v>
      </c>
      <c r="E1440" s="6">
        <f>VALUE(12498.75)</f>
        <v>12498.75</v>
      </c>
      <c r="F1440" s="5" t="s">
        <v>10</v>
      </c>
    </row>
    <row r="1441" spans="1:6" ht="58">
      <c r="A1441" s="1" t="s">
        <v>4321</v>
      </c>
      <c r="B1441" s="4" t="s">
        <v>4322</v>
      </c>
      <c r="C1441" s="3" t="s">
        <v>4323</v>
      </c>
      <c r="D1441" s="5" t="s">
        <v>8</v>
      </c>
      <c r="E1441" s="6">
        <f>VALUE(13748.75)</f>
        <v>13748.75</v>
      </c>
      <c r="F1441" s="5" t="s">
        <v>10</v>
      </c>
    </row>
    <row r="1442" spans="1:6" ht="58">
      <c r="A1442" s="1" t="s">
        <v>4324</v>
      </c>
      <c r="B1442" s="4" t="s">
        <v>4325</v>
      </c>
      <c r="C1442" s="3" t="s">
        <v>4326</v>
      </c>
      <c r="D1442" s="5" t="s">
        <v>8</v>
      </c>
      <c r="E1442" s="6">
        <f>VALUE(30000)</f>
        <v>30000</v>
      </c>
      <c r="F1442" s="5" t="s">
        <v>10</v>
      </c>
    </row>
    <row r="1443" spans="1:6" ht="58">
      <c r="A1443" s="1" t="s">
        <v>4327</v>
      </c>
      <c r="B1443" s="4" t="s">
        <v>4328</v>
      </c>
      <c r="C1443" s="3" t="s">
        <v>4329</v>
      </c>
      <c r="D1443" s="5" t="s">
        <v>8</v>
      </c>
      <c r="E1443" s="6">
        <f>VALUE(31250)</f>
        <v>31250</v>
      </c>
      <c r="F1443" s="5" t="s">
        <v>10</v>
      </c>
    </row>
    <row r="1444" spans="1:6" ht="72.5">
      <c r="A1444" s="1" t="s">
        <v>4330</v>
      </c>
      <c r="B1444" s="4" t="s">
        <v>4331</v>
      </c>
      <c r="C1444" s="3" t="s">
        <v>4332</v>
      </c>
      <c r="D1444" s="5" t="s">
        <v>8</v>
      </c>
      <c r="E1444" s="6">
        <f>VALUE(2123.75)</f>
        <v>2123.75</v>
      </c>
      <c r="F1444" s="5" t="s">
        <v>10</v>
      </c>
    </row>
    <row r="1445" spans="1:6" ht="58">
      <c r="A1445" s="1" t="s">
        <v>4333</v>
      </c>
      <c r="B1445" s="4" t="s">
        <v>4334</v>
      </c>
      <c r="C1445" s="3" t="s">
        <v>4335</v>
      </c>
      <c r="D1445" s="5" t="s">
        <v>8</v>
      </c>
      <c r="E1445" s="6">
        <f>VALUE(3748.75)</f>
        <v>3748.75</v>
      </c>
      <c r="F1445" s="5" t="s">
        <v>10</v>
      </c>
    </row>
    <row r="1446" spans="1:6" ht="58">
      <c r="A1446" s="1" t="s">
        <v>4336</v>
      </c>
      <c r="B1446" s="4" t="s">
        <v>4337</v>
      </c>
      <c r="C1446" s="3" t="s">
        <v>4338</v>
      </c>
      <c r="D1446" s="5" t="s">
        <v>8</v>
      </c>
      <c r="E1446" s="6">
        <f>VALUE(2750)</f>
        <v>2750</v>
      </c>
      <c r="F1446" s="5" t="s">
        <v>10</v>
      </c>
    </row>
    <row r="1447" spans="1:6" ht="58">
      <c r="A1447" s="1" t="s">
        <v>4339</v>
      </c>
      <c r="B1447" s="4" t="s">
        <v>4340</v>
      </c>
      <c r="C1447" s="3" t="s">
        <v>4341</v>
      </c>
      <c r="D1447" s="5" t="s">
        <v>8</v>
      </c>
      <c r="E1447" s="6">
        <f>VALUE(1248.75)</f>
        <v>1248.75</v>
      </c>
      <c r="F1447" s="5" t="s">
        <v>10</v>
      </c>
    </row>
    <row r="1448" spans="1:6" ht="58">
      <c r="A1448" s="1" t="s">
        <v>4342</v>
      </c>
      <c r="B1448" s="4" t="s">
        <v>4343</v>
      </c>
      <c r="C1448" s="3" t="s">
        <v>4344</v>
      </c>
      <c r="D1448" s="5" t="s">
        <v>8</v>
      </c>
      <c r="E1448" s="6">
        <f>VALUE(1248.75)</f>
        <v>1248.75</v>
      </c>
      <c r="F1448" s="5" t="s">
        <v>10</v>
      </c>
    </row>
    <row r="1449" spans="1:6" ht="58">
      <c r="A1449" s="1" t="s">
        <v>4345</v>
      </c>
      <c r="B1449" s="4" t="s">
        <v>4346</v>
      </c>
      <c r="C1449" s="3" t="s">
        <v>4347</v>
      </c>
      <c r="D1449" s="5" t="s">
        <v>8</v>
      </c>
      <c r="E1449" s="6">
        <f>VALUE(748.75)</f>
        <v>748.75</v>
      </c>
      <c r="F1449" s="5" t="s">
        <v>10</v>
      </c>
    </row>
    <row r="1450" spans="1:6" ht="58">
      <c r="A1450" s="1" t="s">
        <v>4348</v>
      </c>
      <c r="B1450" s="4" t="s">
        <v>4349</v>
      </c>
      <c r="C1450" s="3" t="s">
        <v>4350</v>
      </c>
      <c r="D1450" s="5" t="s">
        <v>8</v>
      </c>
      <c r="E1450" s="6">
        <f>VALUE(998.75)</f>
        <v>998.75</v>
      </c>
      <c r="F1450" s="5" t="s">
        <v>10</v>
      </c>
    </row>
    <row r="1451" spans="1:6" ht="58">
      <c r="A1451" s="1" t="s">
        <v>4351</v>
      </c>
      <c r="B1451" s="4" t="s">
        <v>4352</v>
      </c>
      <c r="C1451" s="3" t="s">
        <v>4353</v>
      </c>
      <c r="D1451" s="5" t="s">
        <v>8</v>
      </c>
      <c r="E1451" s="6">
        <f>VALUE(1248.75)</f>
        <v>1248.75</v>
      </c>
      <c r="F1451" s="5" t="s">
        <v>10</v>
      </c>
    </row>
    <row r="1452" spans="1:6" ht="58">
      <c r="A1452" s="1" t="s">
        <v>4354</v>
      </c>
      <c r="B1452" s="4" t="s">
        <v>4355</v>
      </c>
      <c r="C1452" s="3" t="s">
        <v>4356</v>
      </c>
      <c r="D1452" s="5" t="s">
        <v>8</v>
      </c>
      <c r="E1452" s="6">
        <f>VALUE(3998.75)</f>
        <v>3998.75</v>
      </c>
      <c r="F1452" s="5" t="s">
        <v>10</v>
      </c>
    </row>
    <row r="1453" spans="1:6" ht="58">
      <c r="A1453" s="1" t="s">
        <v>4357</v>
      </c>
      <c r="B1453" s="4" t="s">
        <v>4358</v>
      </c>
      <c r="C1453" s="3" t="s">
        <v>4359</v>
      </c>
      <c r="D1453" s="5" t="s">
        <v>8</v>
      </c>
      <c r="E1453" s="6">
        <f>VALUE(4023.75)</f>
        <v>4023.75</v>
      </c>
      <c r="F1453" s="5" t="s">
        <v>10</v>
      </c>
    </row>
    <row r="1454" spans="1:6" ht="58">
      <c r="A1454" s="1" t="s">
        <v>4360</v>
      </c>
      <c r="B1454" s="4" t="s">
        <v>4361</v>
      </c>
      <c r="C1454" s="3" t="s">
        <v>4362</v>
      </c>
      <c r="D1454" s="5" t="s">
        <v>8</v>
      </c>
      <c r="E1454" s="6">
        <f>VALUE(998.75)</f>
        <v>998.75</v>
      </c>
      <c r="F1454" s="5" t="s">
        <v>10</v>
      </c>
    </row>
    <row r="1455" spans="1:6" ht="58">
      <c r="A1455" s="1" t="s">
        <v>4363</v>
      </c>
      <c r="B1455" s="4" t="s">
        <v>4364</v>
      </c>
      <c r="C1455" s="3" t="s">
        <v>4365</v>
      </c>
      <c r="D1455" s="5" t="s">
        <v>8</v>
      </c>
      <c r="E1455" s="6">
        <f>VALUE(1248.75)</f>
        <v>1248.75</v>
      </c>
      <c r="F1455" s="5" t="s">
        <v>10</v>
      </c>
    </row>
    <row r="1456" spans="1:6" ht="58">
      <c r="A1456" s="1" t="s">
        <v>4366</v>
      </c>
      <c r="B1456" s="4" t="s">
        <v>4367</v>
      </c>
      <c r="C1456" s="3" t="s">
        <v>4368</v>
      </c>
      <c r="D1456" s="5" t="s">
        <v>8</v>
      </c>
      <c r="E1456" s="6">
        <f>VALUE(748.75)</f>
        <v>748.75</v>
      </c>
      <c r="F1456" s="5" t="s">
        <v>10</v>
      </c>
    </row>
    <row r="1457" spans="1:6" ht="58">
      <c r="A1457" s="1" t="s">
        <v>4369</v>
      </c>
      <c r="B1457" s="4" t="s">
        <v>4370</v>
      </c>
      <c r="C1457" s="3" t="s">
        <v>4371</v>
      </c>
      <c r="D1457" s="5" t="s">
        <v>8</v>
      </c>
      <c r="E1457" s="6">
        <f>VALUE(498.75)</f>
        <v>498.75</v>
      </c>
      <c r="F1457" s="5" t="s">
        <v>10</v>
      </c>
    </row>
    <row r="1458" spans="1:6" ht="58">
      <c r="A1458" s="1" t="s">
        <v>4372</v>
      </c>
      <c r="B1458" s="4" t="s">
        <v>4373</v>
      </c>
      <c r="C1458" s="3" t="s">
        <v>4374</v>
      </c>
      <c r="D1458" s="5" t="s">
        <v>8</v>
      </c>
      <c r="E1458" s="6">
        <f>VALUE(1248.75)</f>
        <v>1248.75</v>
      </c>
      <c r="F1458" s="5" t="s">
        <v>10</v>
      </c>
    </row>
    <row r="1459" spans="1:6" ht="58">
      <c r="A1459" s="1" t="s">
        <v>4375</v>
      </c>
      <c r="B1459" s="4" t="s">
        <v>4376</v>
      </c>
      <c r="C1459" s="3" t="s">
        <v>4377</v>
      </c>
      <c r="D1459" s="5" t="s">
        <v>8</v>
      </c>
      <c r="E1459" s="6">
        <f>VALUE(748.75)</f>
        <v>748.75</v>
      </c>
      <c r="F1459" s="5" t="s">
        <v>10</v>
      </c>
    </row>
    <row r="1460" spans="1:6" ht="58">
      <c r="A1460" s="1" t="s">
        <v>4378</v>
      </c>
      <c r="B1460" s="4" t="s">
        <v>4379</v>
      </c>
      <c r="C1460" s="3" t="s">
        <v>4380</v>
      </c>
      <c r="D1460" s="5" t="s">
        <v>8</v>
      </c>
      <c r="E1460" s="6">
        <f>VALUE(1498.75)</f>
        <v>1498.75</v>
      </c>
      <c r="F1460" s="5" t="s">
        <v>10</v>
      </c>
    </row>
    <row r="1461" spans="1:6" ht="58">
      <c r="A1461" s="1" t="s">
        <v>4381</v>
      </c>
      <c r="B1461" s="4" t="s">
        <v>4382</v>
      </c>
      <c r="C1461" s="3" t="s">
        <v>4383</v>
      </c>
      <c r="D1461" s="5" t="s">
        <v>8</v>
      </c>
      <c r="E1461" s="6">
        <f>VALUE(4998.75)</f>
        <v>4998.75</v>
      </c>
      <c r="F1461" s="5" t="s">
        <v>10</v>
      </c>
    </row>
    <row r="1462" spans="1:6" ht="58">
      <c r="A1462" s="1" t="s">
        <v>4384</v>
      </c>
      <c r="B1462" s="4" t="s">
        <v>4385</v>
      </c>
      <c r="C1462" s="3" t="s">
        <v>4386</v>
      </c>
      <c r="D1462" s="5" t="s">
        <v>8</v>
      </c>
      <c r="E1462" s="6">
        <f>VALUE(2498.75)</f>
        <v>2498.75</v>
      </c>
      <c r="F1462" s="5" t="s">
        <v>10</v>
      </c>
    </row>
    <row r="1463" spans="1:6" ht="58">
      <c r="A1463" s="1" t="s">
        <v>4387</v>
      </c>
      <c r="B1463" s="4" t="s">
        <v>4388</v>
      </c>
      <c r="C1463" s="3" t="s">
        <v>4389</v>
      </c>
      <c r="D1463" s="5" t="s">
        <v>8</v>
      </c>
      <c r="E1463" s="6">
        <f>VALUE(1248.75)</f>
        <v>1248.75</v>
      </c>
      <c r="F1463" s="5" t="s">
        <v>10</v>
      </c>
    </row>
    <row r="1464" spans="1:6" ht="58">
      <c r="A1464" s="1" t="s">
        <v>4390</v>
      </c>
      <c r="B1464" s="4" t="s">
        <v>4391</v>
      </c>
      <c r="C1464" s="3" t="s">
        <v>4392</v>
      </c>
      <c r="D1464" s="5" t="s">
        <v>8</v>
      </c>
      <c r="E1464" s="6">
        <f>VALUE(5748.75)</f>
        <v>5748.75</v>
      </c>
      <c r="F1464" s="5" t="s">
        <v>10</v>
      </c>
    </row>
    <row r="1465" spans="1:6" ht="58">
      <c r="A1465" s="1" t="s">
        <v>4393</v>
      </c>
      <c r="B1465" s="4" t="s">
        <v>4394</v>
      </c>
      <c r="C1465" s="3" t="s">
        <v>4395</v>
      </c>
      <c r="D1465" s="5" t="s">
        <v>8</v>
      </c>
      <c r="E1465" s="6">
        <f>VALUE(6248.75)</f>
        <v>6248.75</v>
      </c>
      <c r="F1465" s="5" t="s">
        <v>10</v>
      </c>
    </row>
    <row r="1466" spans="1:6" ht="58">
      <c r="A1466" s="1" t="s">
        <v>4396</v>
      </c>
      <c r="B1466" s="4" t="s">
        <v>4397</v>
      </c>
      <c r="C1466" s="3" t="s">
        <v>4398</v>
      </c>
      <c r="D1466" s="5" t="s">
        <v>8</v>
      </c>
      <c r="E1466" s="6">
        <f>VALUE(2498.75)</f>
        <v>2498.75</v>
      </c>
      <c r="F1466" s="5" t="s">
        <v>10</v>
      </c>
    </row>
    <row r="1467" spans="1:6" ht="58">
      <c r="A1467" s="1" t="s">
        <v>4399</v>
      </c>
      <c r="B1467" s="4" t="s">
        <v>4400</v>
      </c>
      <c r="C1467" s="3" t="s">
        <v>4401</v>
      </c>
      <c r="D1467" s="5" t="s">
        <v>8</v>
      </c>
      <c r="E1467" s="6">
        <f>VALUE(1748.75)</f>
        <v>1748.75</v>
      </c>
      <c r="F1467" s="5" t="s">
        <v>10</v>
      </c>
    </row>
    <row r="1468" spans="1:6" ht="58">
      <c r="A1468" s="1" t="s">
        <v>4402</v>
      </c>
      <c r="B1468" s="4" t="s">
        <v>4403</v>
      </c>
      <c r="C1468" s="3" t="s">
        <v>4404</v>
      </c>
      <c r="D1468" s="5" t="s">
        <v>8</v>
      </c>
      <c r="E1468" s="6">
        <f>VALUE(998.75)</f>
        <v>998.75</v>
      </c>
      <c r="F1468" s="5" t="s">
        <v>10</v>
      </c>
    </row>
    <row r="1469" spans="1:6" ht="58">
      <c r="A1469" s="1" t="s">
        <v>4405</v>
      </c>
      <c r="B1469" s="4" t="s">
        <v>4406</v>
      </c>
      <c r="C1469" s="3" t="s">
        <v>4407</v>
      </c>
      <c r="D1469" s="5" t="s">
        <v>8</v>
      </c>
      <c r="E1469" s="6">
        <f>VALUE(1873.75)</f>
        <v>1873.75</v>
      </c>
      <c r="F1469" s="5" t="s">
        <v>10</v>
      </c>
    </row>
    <row r="1470" spans="1:6" ht="58">
      <c r="A1470" s="1" t="s">
        <v>4408</v>
      </c>
      <c r="B1470" s="4" t="s">
        <v>4409</v>
      </c>
      <c r="C1470" s="3" t="s">
        <v>4410</v>
      </c>
      <c r="D1470" s="5" t="s">
        <v>8</v>
      </c>
      <c r="E1470" s="6">
        <f>VALUE(748.75)</f>
        <v>748.75</v>
      </c>
      <c r="F1470" s="5" t="s">
        <v>10</v>
      </c>
    </row>
    <row r="1471" spans="1:6" ht="58">
      <c r="A1471" s="1" t="s">
        <v>4411</v>
      </c>
      <c r="B1471" s="4" t="s">
        <v>4412</v>
      </c>
      <c r="C1471" s="3" t="s">
        <v>4413</v>
      </c>
      <c r="D1471" s="5" t="s">
        <v>8</v>
      </c>
      <c r="E1471" s="6">
        <f>VALUE(623.75)</f>
        <v>623.75</v>
      </c>
      <c r="F1471" s="5" t="s">
        <v>10</v>
      </c>
    </row>
    <row r="1472" spans="1:6" ht="58">
      <c r="A1472" s="1" t="s">
        <v>4414</v>
      </c>
      <c r="B1472" s="4" t="s">
        <v>4415</v>
      </c>
      <c r="C1472" s="3" t="s">
        <v>4416</v>
      </c>
      <c r="D1472" s="5" t="s">
        <v>8</v>
      </c>
      <c r="E1472" s="6">
        <f>VALUE(1873.75)</f>
        <v>1873.75</v>
      </c>
      <c r="F1472" s="5" t="s">
        <v>10</v>
      </c>
    </row>
    <row r="1473" spans="1:6" ht="58">
      <c r="A1473" s="1" t="s">
        <v>4417</v>
      </c>
      <c r="B1473" s="4" t="s">
        <v>4418</v>
      </c>
      <c r="C1473" s="3" t="s">
        <v>4419</v>
      </c>
      <c r="D1473" s="5" t="s">
        <v>8</v>
      </c>
      <c r="E1473" s="6">
        <f>VALUE(2498.75)</f>
        <v>2498.75</v>
      </c>
      <c r="F1473" s="5" t="s">
        <v>10</v>
      </c>
    </row>
    <row r="1474" spans="1:6" ht="58">
      <c r="A1474" s="1" t="s">
        <v>4420</v>
      </c>
      <c r="B1474" s="4" t="s">
        <v>4421</v>
      </c>
      <c r="C1474" s="3" t="s">
        <v>4422</v>
      </c>
      <c r="D1474" s="5" t="s">
        <v>8</v>
      </c>
      <c r="E1474" s="6">
        <f>VALUE(1873.75)</f>
        <v>1873.75</v>
      </c>
      <c r="F1474" s="5" t="s">
        <v>10</v>
      </c>
    </row>
    <row r="1475" spans="1:6" ht="58">
      <c r="A1475" s="1" t="s">
        <v>4423</v>
      </c>
      <c r="B1475" s="4" t="s">
        <v>4424</v>
      </c>
      <c r="C1475" s="3" t="s">
        <v>4425</v>
      </c>
      <c r="D1475" s="5" t="s">
        <v>8</v>
      </c>
      <c r="E1475" s="6">
        <f>VALUE(1248.75)</f>
        <v>1248.75</v>
      </c>
      <c r="F1475" s="5" t="s">
        <v>10</v>
      </c>
    </row>
    <row r="1476" spans="1:6" ht="58">
      <c r="A1476" s="1" t="s">
        <v>4426</v>
      </c>
      <c r="B1476" s="4" t="s">
        <v>4427</v>
      </c>
      <c r="C1476" s="3" t="s">
        <v>4428</v>
      </c>
      <c r="D1476" s="5" t="s">
        <v>8</v>
      </c>
      <c r="E1476" s="6">
        <f>VALUE(2248.75)</f>
        <v>2248.75</v>
      </c>
      <c r="F1476" s="5" t="s">
        <v>10</v>
      </c>
    </row>
    <row r="1477" spans="1:6" ht="58">
      <c r="A1477" s="1" t="s">
        <v>4429</v>
      </c>
      <c r="B1477" s="4" t="s">
        <v>4430</v>
      </c>
      <c r="C1477" s="3" t="s">
        <v>4431</v>
      </c>
      <c r="D1477" s="5" t="s">
        <v>8</v>
      </c>
      <c r="E1477" s="6">
        <f>VALUE(6750)</f>
        <v>6750</v>
      </c>
      <c r="F1477" s="5" t="s">
        <v>10</v>
      </c>
    </row>
    <row r="1478" spans="1:6" ht="58">
      <c r="A1478" s="1" t="s">
        <v>4432</v>
      </c>
      <c r="B1478" s="4" t="s">
        <v>4433</v>
      </c>
      <c r="C1478" s="3" t="s">
        <v>4434</v>
      </c>
      <c r="D1478" s="5" t="s">
        <v>8</v>
      </c>
      <c r="E1478" s="6">
        <f>VALUE(7250)</f>
        <v>7250</v>
      </c>
      <c r="F1478" s="5" t="s">
        <v>10</v>
      </c>
    </row>
    <row r="1479" spans="1:6" ht="58">
      <c r="A1479" s="1" t="s">
        <v>4435</v>
      </c>
      <c r="B1479" s="4" t="s">
        <v>4436</v>
      </c>
      <c r="C1479" s="3" t="s">
        <v>4437</v>
      </c>
      <c r="D1479" s="5" t="s">
        <v>8</v>
      </c>
      <c r="E1479" s="6">
        <f>VALUE(7498.75)</f>
        <v>7498.75</v>
      </c>
      <c r="F1479" s="5" t="s">
        <v>10</v>
      </c>
    </row>
    <row r="1480" spans="1:6" ht="58">
      <c r="A1480" s="1" t="s">
        <v>4438</v>
      </c>
      <c r="B1480" s="4" t="s">
        <v>4439</v>
      </c>
      <c r="C1480" s="3" t="s">
        <v>4440</v>
      </c>
      <c r="D1480" s="5" t="s">
        <v>8</v>
      </c>
      <c r="E1480" s="6">
        <f>VALUE(7998.75)</f>
        <v>7998.75</v>
      </c>
      <c r="F1480" s="5" t="s">
        <v>10</v>
      </c>
    </row>
    <row r="1481" spans="1:6" ht="58">
      <c r="A1481" s="1" t="s">
        <v>4441</v>
      </c>
      <c r="B1481" s="4" t="s">
        <v>4442</v>
      </c>
      <c r="C1481" s="3" t="s">
        <v>4443</v>
      </c>
      <c r="D1481" s="5" t="s">
        <v>8</v>
      </c>
      <c r="E1481" s="6">
        <f>VALUE(7498.75)</f>
        <v>7498.75</v>
      </c>
      <c r="F1481" s="5" t="s">
        <v>10</v>
      </c>
    </row>
    <row r="1482" spans="1:6" ht="58">
      <c r="A1482" s="1" t="s">
        <v>4444</v>
      </c>
      <c r="B1482" s="4" t="s">
        <v>4445</v>
      </c>
      <c r="C1482" s="3" t="s">
        <v>4446</v>
      </c>
      <c r="D1482" s="5" t="s">
        <v>8</v>
      </c>
      <c r="E1482" s="6">
        <f>VALUE(7998.75)</f>
        <v>7998.75</v>
      </c>
      <c r="F1482" s="5" t="s">
        <v>10</v>
      </c>
    </row>
    <row r="1483" spans="1:6" ht="58">
      <c r="A1483" s="1" t="s">
        <v>4447</v>
      </c>
      <c r="B1483" s="4" t="s">
        <v>4448</v>
      </c>
      <c r="C1483" s="3" t="s">
        <v>4449</v>
      </c>
      <c r="D1483" s="5" t="s">
        <v>8</v>
      </c>
      <c r="E1483" s="6">
        <f>VALUE(8748.75)</f>
        <v>8748.75</v>
      </c>
      <c r="F1483" s="5" t="s">
        <v>10</v>
      </c>
    </row>
    <row r="1484" spans="1:6" ht="58">
      <c r="A1484" s="1" t="s">
        <v>4450</v>
      </c>
      <c r="B1484" s="4" t="s">
        <v>4451</v>
      </c>
      <c r="C1484" s="3" t="s">
        <v>4452</v>
      </c>
      <c r="D1484" s="5" t="s">
        <v>8</v>
      </c>
      <c r="E1484" s="6">
        <f>VALUE(7498.75)</f>
        <v>7498.75</v>
      </c>
      <c r="F1484" s="5" t="s">
        <v>10</v>
      </c>
    </row>
    <row r="1485" spans="1:6" ht="43.5">
      <c r="A1485" s="1" t="s">
        <v>4453</v>
      </c>
      <c r="B1485" s="4" t="s">
        <v>4454</v>
      </c>
      <c r="C1485" s="3" t="s">
        <v>4455</v>
      </c>
      <c r="D1485" s="5" t="s">
        <v>8</v>
      </c>
      <c r="E1485" s="6">
        <f>VALUE(10750)</f>
        <v>10750</v>
      </c>
      <c r="F1485" s="5" t="s">
        <v>10</v>
      </c>
    </row>
    <row r="1486" spans="1:6" ht="43.5">
      <c r="A1486" s="1" t="s">
        <v>4456</v>
      </c>
      <c r="B1486" s="4" t="s">
        <v>4457</v>
      </c>
      <c r="C1486" s="3" t="s">
        <v>4458</v>
      </c>
      <c r="D1486" s="5" t="s">
        <v>8</v>
      </c>
      <c r="E1486" s="6">
        <f>VALUE(12000)</f>
        <v>12000</v>
      </c>
      <c r="F1486" s="5" t="s">
        <v>10</v>
      </c>
    </row>
    <row r="1487" spans="1:6" ht="58">
      <c r="A1487" s="1" t="s">
        <v>4459</v>
      </c>
      <c r="B1487" s="4" t="s">
        <v>4460</v>
      </c>
      <c r="C1487" s="3" t="s">
        <v>4461</v>
      </c>
      <c r="D1487" s="5" t="s">
        <v>8</v>
      </c>
      <c r="E1487" s="6">
        <f>VALUE(9998.75)</f>
        <v>9998.75</v>
      </c>
      <c r="F1487" s="5" t="s">
        <v>10</v>
      </c>
    </row>
    <row r="1488" spans="1:6" ht="58">
      <c r="A1488" s="1" t="s">
        <v>4462</v>
      </c>
      <c r="B1488" s="4" t="s">
        <v>4463</v>
      </c>
      <c r="C1488" s="3" t="s">
        <v>4464</v>
      </c>
      <c r="D1488" s="5" t="s">
        <v>8</v>
      </c>
      <c r="E1488" s="6">
        <f>VALUE(6000)</f>
        <v>6000</v>
      </c>
      <c r="F1488" s="5" t="s">
        <v>10</v>
      </c>
    </row>
    <row r="1489" spans="1:6" ht="58">
      <c r="A1489" s="1" t="s">
        <v>4465</v>
      </c>
      <c r="B1489" s="4" t="s">
        <v>4466</v>
      </c>
      <c r="C1489" s="3" t="s">
        <v>4467</v>
      </c>
      <c r="D1489" s="5" t="s">
        <v>8</v>
      </c>
      <c r="E1489" s="6">
        <f>VALUE(7248.75)</f>
        <v>7248.75</v>
      </c>
      <c r="F1489" s="5" t="s">
        <v>10</v>
      </c>
    </row>
    <row r="1490" spans="1:6" ht="58">
      <c r="A1490" s="1" t="s">
        <v>4468</v>
      </c>
      <c r="B1490" s="4" t="s">
        <v>4469</v>
      </c>
      <c r="C1490" s="3" t="s">
        <v>4470</v>
      </c>
      <c r="D1490" s="5" t="s">
        <v>8</v>
      </c>
      <c r="E1490" s="6">
        <f>VALUE(3748.75)</f>
        <v>3748.75</v>
      </c>
      <c r="F1490" s="5" t="s">
        <v>10</v>
      </c>
    </row>
    <row r="1491" spans="1:6" ht="58">
      <c r="A1491" s="1" t="s">
        <v>4471</v>
      </c>
      <c r="B1491" s="4" t="s">
        <v>4472</v>
      </c>
      <c r="C1491" s="3" t="s">
        <v>4473</v>
      </c>
      <c r="D1491" s="5" t="s">
        <v>8</v>
      </c>
      <c r="E1491" s="6">
        <f>VALUE(1498.75)</f>
        <v>1498.75</v>
      </c>
      <c r="F1491" s="5" t="s">
        <v>10</v>
      </c>
    </row>
    <row r="1492" spans="1:6" ht="58">
      <c r="A1492" s="1" t="s">
        <v>4474</v>
      </c>
      <c r="B1492" s="4" t="s">
        <v>4475</v>
      </c>
      <c r="C1492" s="3" t="s">
        <v>4476</v>
      </c>
      <c r="D1492" s="5" t="s">
        <v>8</v>
      </c>
      <c r="E1492" s="6">
        <f>VALUE(1248.75)</f>
        <v>1248.75</v>
      </c>
      <c r="F1492" s="5" t="s">
        <v>10</v>
      </c>
    </row>
    <row r="1493" spans="1:6" ht="58">
      <c r="A1493" s="1" t="s">
        <v>4477</v>
      </c>
      <c r="B1493" s="4" t="s">
        <v>4478</v>
      </c>
      <c r="C1493" s="3" t="s">
        <v>4479</v>
      </c>
      <c r="D1493" s="5" t="s">
        <v>8</v>
      </c>
      <c r="E1493" s="6">
        <f>VALUE(4998.75)</f>
        <v>4998.75</v>
      </c>
      <c r="F1493" s="5" t="s">
        <v>10</v>
      </c>
    </row>
    <row r="1494" spans="1:6" ht="58">
      <c r="A1494" s="1" t="s">
        <v>4480</v>
      </c>
      <c r="B1494" s="4" t="s">
        <v>4481</v>
      </c>
      <c r="C1494" s="3" t="s">
        <v>4482</v>
      </c>
      <c r="D1494" s="5" t="s">
        <v>8</v>
      </c>
      <c r="E1494" s="6">
        <f>VALUE(3748.75)</f>
        <v>3748.75</v>
      </c>
      <c r="F1494" s="5" t="s">
        <v>10</v>
      </c>
    </row>
    <row r="1495" spans="1:6" ht="58">
      <c r="A1495" s="1" t="s">
        <v>4483</v>
      </c>
      <c r="B1495" s="4" t="s">
        <v>4484</v>
      </c>
      <c r="C1495" s="3" t="s">
        <v>4485</v>
      </c>
      <c r="D1495" s="5" t="s">
        <v>8</v>
      </c>
      <c r="E1495" s="6">
        <f>VALUE(2498.75)</f>
        <v>2498.75</v>
      </c>
      <c r="F1495" s="5" t="s">
        <v>10</v>
      </c>
    </row>
    <row r="1496" spans="1:6" ht="58">
      <c r="A1496" s="1" t="s">
        <v>4486</v>
      </c>
      <c r="B1496" s="4" t="s">
        <v>4487</v>
      </c>
      <c r="C1496" s="3" t="s">
        <v>4488</v>
      </c>
      <c r="D1496" s="5" t="s">
        <v>8</v>
      </c>
      <c r="E1496" s="6">
        <f>VALUE(3748.75)</f>
        <v>3748.75</v>
      </c>
      <c r="F1496" s="5" t="s">
        <v>10</v>
      </c>
    </row>
    <row r="1497" spans="1:6" ht="58">
      <c r="A1497" s="1" t="s">
        <v>4489</v>
      </c>
      <c r="B1497" s="4" t="s">
        <v>4490</v>
      </c>
      <c r="C1497" s="3" t="s">
        <v>4491</v>
      </c>
      <c r="D1497" s="5" t="s">
        <v>8</v>
      </c>
      <c r="E1497" s="6">
        <f>VALUE(4498.75)</f>
        <v>4498.75</v>
      </c>
      <c r="F1497" s="5" t="s">
        <v>10</v>
      </c>
    </row>
    <row r="1498" spans="1:6" ht="58">
      <c r="A1498" s="1" t="s">
        <v>4492</v>
      </c>
      <c r="B1498" s="4" t="s">
        <v>4493</v>
      </c>
      <c r="C1498" s="3" t="s">
        <v>4494</v>
      </c>
      <c r="D1498" s="5" t="s">
        <v>8</v>
      </c>
      <c r="E1498" s="6">
        <f>VALUE(7498.75)</f>
        <v>7498.75</v>
      </c>
      <c r="F1498" s="5" t="s">
        <v>10</v>
      </c>
    </row>
    <row r="1499" spans="1:6" ht="58">
      <c r="A1499" s="1" t="s">
        <v>4495</v>
      </c>
      <c r="B1499" s="4" t="s">
        <v>4496</v>
      </c>
      <c r="C1499" s="3" t="s">
        <v>4497</v>
      </c>
      <c r="D1499" s="5" t="s">
        <v>8</v>
      </c>
      <c r="E1499" s="6">
        <f>VALUE(2998.75)</f>
        <v>2998.75</v>
      </c>
      <c r="F1499" s="5" t="s">
        <v>10</v>
      </c>
    </row>
    <row r="1500" spans="1:6" ht="58">
      <c r="A1500" s="1" t="s">
        <v>4498</v>
      </c>
      <c r="B1500" s="4" t="s">
        <v>4499</v>
      </c>
      <c r="C1500" s="3" t="s">
        <v>4500</v>
      </c>
      <c r="D1500" s="5" t="s">
        <v>8</v>
      </c>
      <c r="E1500" s="6">
        <f>VALUE(4998.75)</f>
        <v>4998.75</v>
      </c>
      <c r="F1500" s="5" t="s">
        <v>10</v>
      </c>
    </row>
    <row r="1501" spans="1:6" ht="58">
      <c r="A1501" s="1" t="s">
        <v>4501</v>
      </c>
      <c r="B1501" s="4" t="s">
        <v>4502</v>
      </c>
      <c r="C1501" s="3" t="s">
        <v>4503</v>
      </c>
      <c r="D1501" s="5" t="s">
        <v>8</v>
      </c>
      <c r="E1501" s="6">
        <f>VALUE(7498.75)</f>
        <v>7498.75</v>
      </c>
      <c r="F1501" s="5" t="s">
        <v>10</v>
      </c>
    </row>
    <row r="1502" spans="1:6" ht="58">
      <c r="A1502" s="1" t="s">
        <v>4504</v>
      </c>
      <c r="B1502" s="4" t="s">
        <v>4505</v>
      </c>
      <c r="C1502" s="3" t="s">
        <v>4506</v>
      </c>
      <c r="D1502" s="5" t="s">
        <v>8</v>
      </c>
      <c r="E1502" s="6">
        <f>VALUE(9998.75)</f>
        <v>9998.75</v>
      </c>
      <c r="F1502" s="5" t="s">
        <v>10</v>
      </c>
    </row>
    <row r="1503" spans="1:6" ht="58">
      <c r="A1503" s="1" t="s">
        <v>4507</v>
      </c>
      <c r="B1503" s="4" t="s">
        <v>4508</v>
      </c>
      <c r="C1503" s="3" t="s">
        <v>4509</v>
      </c>
      <c r="D1503" s="5" t="s">
        <v>8</v>
      </c>
      <c r="E1503" s="6">
        <f>VALUE(10000)</f>
        <v>10000</v>
      </c>
      <c r="F1503" s="5" t="s">
        <v>10</v>
      </c>
    </row>
    <row r="1504" spans="1:6" ht="58">
      <c r="A1504" s="1" t="s">
        <v>4510</v>
      </c>
      <c r="B1504" s="4" t="s">
        <v>4511</v>
      </c>
      <c r="C1504" s="3" t="s">
        <v>4512</v>
      </c>
      <c r="D1504" s="5" t="s">
        <v>8</v>
      </c>
      <c r="E1504" s="6">
        <f>VALUE(9000)</f>
        <v>9000</v>
      </c>
      <c r="F1504" s="5" t="s">
        <v>10</v>
      </c>
    </row>
    <row r="1505" spans="1:6" ht="58">
      <c r="A1505" s="1" t="s">
        <v>4513</v>
      </c>
      <c r="B1505" s="4" t="s">
        <v>4514</v>
      </c>
      <c r="C1505" s="3" t="s">
        <v>4515</v>
      </c>
      <c r="D1505" s="5" t="s">
        <v>8</v>
      </c>
      <c r="E1505" s="6">
        <f>VALUE(12500)</f>
        <v>12500</v>
      </c>
      <c r="F1505" s="5" t="s">
        <v>10</v>
      </c>
    </row>
    <row r="1506" spans="1:6" ht="58">
      <c r="A1506" s="1" t="s">
        <v>4516</v>
      </c>
      <c r="B1506" s="4" t="s">
        <v>4517</v>
      </c>
      <c r="C1506" s="3" t="s">
        <v>4518</v>
      </c>
      <c r="D1506" s="5" t="s">
        <v>8</v>
      </c>
      <c r="E1506" s="6">
        <f>VALUE(5250)</f>
        <v>5250</v>
      </c>
      <c r="F1506" s="5" t="s">
        <v>10</v>
      </c>
    </row>
    <row r="1507" spans="1:6" ht="58">
      <c r="A1507" s="1" t="s">
        <v>4519</v>
      </c>
      <c r="B1507" s="4" t="s">
        <v>4520</v>
      </c>
      <c r="C1507" s="3" t="s">
        <v>4521</v>
      </c>
      <c r="D1507" s="5" t="s">
        <v>8</v>
      </c>
      <c r="E1507" s="6">
        <f>VALUE(11248.75)</f>
        <v>11248.75</v>
      </c>
      <c r="F1507" s="5" t="s">
        <v>10</v>
      </c>
    </row>
    <row r="1508" spans="1:6" ht="58">
      <c r="A1508" s="1" t="s">
        <v>4522</v>
      </c>
      <c r="B1508" s="4" t="s">
        <v>4523</v>
      </c>
      <c r="C1508" s="3" t="s">
        <v>4524</v>
      </c>
      <c r="D1508" s="5" t="s">
        <v>8</v>
      </c>
      <c r="E1508" s="6">
        <f>VALUE(11748.75)</f>
        <v>11748.75</v>
      </c>
      <c r="F1508" s="5" t="s">
        <v>10</v>
      </c>
    </row>
    <row r="1509" spans="1:6" ht="58">
      <c r="A1509" s="1" t="s">
        <v>4525</v>
      </c>
      <c r="B1509" s="4" t="s">
        <v>4526</v>
      </c>
      <c r="C1509" s="3" t="s">
        <v>4527</v>
      </c>
      <c r="D1509" s="5" t="s">
        <v>8</v>
      </c>
      <c r="E1509" s="6">
        <f>VALUE(14998.75)</f>
        <v>14998.75</v>
      </c>
      <c r="F1509" s="5" t="s">
        <v>10</v>
      </c>
    </row>
    <row r="1510" spans="1:6" ht="43.5">
      <c r="A1510" s="1" t="s">
        <v>4528</v>
      </c>
      <c r="B1510" s="4" t="s">
        <v>4529</v>
      </c>
      <c r="C1510" s="3" t="s">
        <v>4530</v>
      </c>
      <c r="D1510" s="5" t="s">
        <v>8</v>
      </c>
      <c r="E1510" s="6">
        <f>VALUE(11248.75)</f>
        <v>11248.75</v>
      </c>
      <c r="F1510" s="5" t="s">
        <v>10</v>
      </c>
    </row>
    <row r="1511" spans="1:6" ht="58">
      <c r="A1511" s="1" t="s">
        <v>4531</v>
      </c>
      <c r="B1511" s="4" t="s">
        <v>4532</v>
      </c>
      <c r="C1511" s="3" t="s">
        <v>4533</v>
      </c>
      <c r="D1511" s="5" t="s">
        <v>8</v>
      </c>
      <c r="E1511" s="6">
        <f>VALUE(14998.75)</f>
        <v>14998.75</v>
      </c>
      <c r="F1511" s="5" t="s">
        <v>10</v>
      </c>
    </row>
    <row r="1512" spans="1:6" ht="58">
      <c r="A1512" s="1" t="s">
        <v>4534</v>
      </c>
      <c r="B1512" s="4" t="s">
        <v>4535</v>
      </c>
      <c r="C1512" s="3" t="s">
        <v>4536</v>
      </c>
      <c r="D1512" s="5" t="s">
        <v>8</v>
      </c>
      <c r="E1512" s="6">
        <f>VALUE(7498.75)</f>
        <v>7498.75</v>
      </c>
      <c r="F1512" s="5" t="s">
        <v>10</v>
      </c>
    </row>
    <row r="1513" spans="1:6" ht="58">
      <c r="A1513" s="1" t="s">
        <v>4537</v>
      </c>
      <c r="B1513" s="4" t="s">
        <v>4538</v>
      </c>
      <c r="C1513" s="3" t="s">
        <v>4539</v>
      </c>
      <c r="D1513" s="5" t="s">
        <v>8</v>
      </c>
      <c r="E1513" s="6">
        <f>VALUE(2998.75)</f>
        <v>2998.75</v>
      </c>
      <c r="F1513" s="5" t="s">
        <v>10</v>
      </c>
    </row>
    <row r="1514" spans="1:6" ht="58">
      <c r="A1514" s="1" t="s">
        <v>4540</v>
      </c>
      <c r="B1514" s="4" t="s">
        <v>4541</v>
      </c>
      <c r="C1514" s="3" t="s">
        <v>4542</v>
      </c>
      <c r="D1514" s="5" t="s">
        <v>8</v>
      </c>
      <c r="E1514" s="6">
        <f>VALUE(2498.75)</f>
        <v>2498.75</v>
      </c>
      <c r="F1514" s="5" t="s">
        <v>10</v>
      </c>
    </row>
    <row r="1515" spans="1:6" ht="58">
      <c r="A1515" s="1" t="s">
        <v>4543</v>
      </c>
      <c r="B1515" s="4" t="s">
        <v>4544</v>
      </c>
      <c r="C1515" s="3" t="s">
        <v>4545</v>
      </c>
      <c r="D1515" s="5" t="s">
        <v>8</v>
      </c>
      <c r="E1515" s="6">
        <f>VALUE(9998.75)</f>
        <v>9998.75</v>
      </c>
      <c r="F1515" s="5" t="s">
        <v>10</v>
      </c>
    </row>
    <row r="1516" spans="1:6" ht="58">
      <c r="A1516" s="1" t="s">
        <v>4546</v>
      </c>
      <c r="B1516" s="4" t="s">
        <v>4547</v>
      </c>
      <c r="C1516" s="3" t="s">
        <v>4548</v>
      </c>
      <c r="D1516" s="5" t="s">
        <v>8</v>
      </c>
      <c r="E1516" s="6">
        <f>VALUE(7498.75)</f>
        <v>7498.75</v>
      </c>
      <c r="F1516" s="5" t="s">
        <v>10</v>
      </c>
    </row>
    <row r="1517" spans="1:6" ht="58">
      <c r="A1517" s="1" t="s">
        <v>4549</v>
      </c>
      <c r="B1517" s="4" t="s">
        <v>4550</v>
      </c>
      <c r="C1517" s="3" t="s">
        <v>4551</v>
      </c>
      <c r="D1517" s="5" t="s">
        <v>8</v>
      </c>
      <c r="E1517" s="6">
        <f>VALUE(4998.75)</f>
        <v>4998.75</v>
      </c>
      <c r="F1517" s="5" t="s">
        <v>10</v>
      </c>
    </row>
    <row r="1518" spans="1:6" ht="58">
      <c r="A1518" s="1" t="s">
        <v>4552</v>
      </c>
      <c r="B1518" s="4" t="s">
        <v>4553</v>
      </c>
      <c r="C1518" s="3" t="s">
        <v>4554</v>
      </c>
      <c r="D1518" s="5" t="s">
        <v>8</v>
      </c>
      <c r="E1518" s="6">
        <f>VALUE(7498.75)</f>
        <v>7498.75</v>
      </c>
      <c r="F1518" s="5" t="s">
        <v>10</v>
      </c>
    </row>
    <row r="1519" spans="1:6" ht="58">
      <c r="A1519" s="1" t="s">
        <v>4555</v>
      </c>
      <c r="B1519" s="4" t="s">
        <v>4556</v>
      </c>
      <c r="C1519" s="3" t="s">
        <v>4557</v>
      </c>
      <c r="D1519" s="5" t="s">
        <v>8</v>
      </c>
      <c r="E1519" s="6">
        <f>VALUE(8998.75)</f>
        <v>8998.75</v>
      </c>
      <c r="F1519" s="5" t="s">
        <v>10</v>
      </c>
    </row>
    <row r="1520" spans="1:6" ht="58">
      <c r="A1520" s="1" t="s">
        <v>4558</v>
      </c>
      <c r="B1520" s="4" t="s">
        <v>4559</v>
      </c>
      <c r="C1520" s="3" t="s">
        <v>4560</v>
      </c>
      <c r="D1520" s="5" t="s">
        <v>8</v>
      </c>
      <c r="E1520" s="6">
        <f>VALUE(19998.75)</f>
        <v>19998.75</v>
      </c>
      <c r="F1520" s="5" t="s">
        <v>10</v>
      </c>
    </row>
    <row r="1521" spans="1:6" ht="58">
      <c r="A1521" s="1" t="s">
        <v>4561</v>
      </c>
      <c r="B1521" s="4" t="s">
        <v>4562</v>
      </c>
      <c r="C1521" s="3" t="s">
        <v>4563</v>
      </c>
      <c r="D1521" s="5" t="s">
        <v>8</v>
      </c>
      <c r="E1521" s="6">
        <f>VALUE(10750)</f>
        <v>10750</v>
      </c>
      <c r="F1521" s="5" t="s">
        <v>10</v>
      </c>
    </row>
    <row r="1522" spans="1:6" ht="58">
      <c r="A1522" s="1" t="s">
        <v>4564</v>
      </c>
      <c r="B1522" s="4" t="s">
        <v>4565</v>
      </c>
      <c r="C1522" s="3" t="s">
        <v>4566</v>
      </c>
      <c r="D1522" s="5" t="s">
        <v>8</v>
      </c>
      <c r="E1522" s="6">
        <f>VALUE(11250)</f>
        <v>11250</v>
      </c>
      <c r="F1522" s="5" t="s">
        <v>10</v>
      </c>
    </row>
    <row r="1523" spans="1:6" ht="58">
      <c r="A1523" s="1" t="s">
        <v>4567</v>
      </c>
      <c r="B1523" s="4" t="s">
        <v>4568</v>
      </c>
      <c r="C1523" s="3" t="s">
        <v>4569</v>
      </c>
      <c r="D1523" s="5" t="s">
        <v>8</v>
      </c>
      <c r="E1523" s="6">
        <f>VALUE(22000)</f>
        <v>22000</v>
      </c>
      <c r="F1523" s="5" t="s">
        <v>10</v>
      </c>
    </row>
    <row r="1524" spans="1:6" ht="58">
      <c r="A1524" s="1" t="s">
        <v>4570</v>
      </c>
      <c r="B1524" s="4" t="s">
        <v>4571</v>
      </c>
      <c r="C1524" s="3" t="s">
        <v>4572</v>
      </c>
      <c r="D1524" s="5" t="s">
        <v>8</v>
      </c>
      <c r="E1524" s="6">
        <f>VALUE(23000)</f>
        <v>23000</v>
      </c>
      <c r="F1524" s="5" t="s">
        <v>10</v>
      </c>
    </row>
    <row r="1525" spans="1:6" ht="43.5">
      <c r="A1525" s="1" t="s">
        <v>4573</v>
      </c>
      <c r="B1525" s="4" t="s">
        <v>4574</v>
      </c>
      <c r="C1525" s="3" t="s">
        <v>4575</v>
      </c>
      <c r="D1525" s="5" t="s">
        <v>8</v>
      </c>
      <c r="E1525" s="6">
        <f>VALUE(4875)</f>
        <v>4875</v>
      </c>
      <c r="F1525" s="5" t="s">
        <v>10</v>
      </c>
    </row>
    <row r="1526" spans="1:6" ht="43.5">
      <c r="A1526" s="1" t="s">
        <v>4576</v>
      </c>
      <c r="B1526" s="4" t="s">
        <v>4577</v>
      </c>
      <c r="C1526" s="3" t="s">
        <v>4578</v>
      </c>
      <c r="D1526" s="5" t="s">
        <v>8</v>
      </c>
      <c r="E1526" s="6">
        <f>VALUE(12250)</f>
        <v>12250</v>
      </c>
      <c r="F1526" s="5" t="s">
        <v>10</v>
      </c>
    </row>
    <row r="1527" spans="1:6" ht="43.5">
      <c r="A1527" s="1" t="s">
        <v>4579</v>
      </c>
      <c r="B1527" s="4" t="s">
        <v>4580</v>
      </c>
      <c r="C1527" s="3" t="s">
        <v>4581</v>
      </c>
      <c r="D1527" s="5" t="s">
        <v>8</v>
      </c>
      <c r="E1527" s="6">
        <f>VALUE(10500)</f>
        <v>10500</v>
      </c>
      <c r="F1527" s="5" t="s">
        <v>10</v>
      </c>
    </row>
    <row r="1528" spans="1:6" ht="58">
      <c r="A1528" s="1" t="s">
        <v>4582</v>
      </c>
      <c r="B1528" s="4" t="s">
        <v>4583</v>
      </c>
      <c r="C1528" s="3" t="s">
        <v>4584</v>
      </c>
      <c r="D1528" s="5" t="s">
        <v>8</v>
      </c>
      <c r="E1528" s="6">
        <f>VALUE(15500)</f>
        <v>15500</v>
      </c>
      <c r="F1528" s="5" t="s">
        <v>10</v>
      </c>
    </row>
    <row r="1529" spans="1:6" ht="43.5">
      <c r="A1529" s="1" t="s">
        <v>4585</v>
      </c>
      <c r="B1529" s="4" t="s">
        <v>4586</v>
      </c>
      <c r="C1529" s="3" t="s">
        <v>4587</v>
      </c>
      <c r="D1529" s="5" t="s">
        <v>8</v>
      </c>
      <c r="E1529" s="6">
        <f>VALUE(14750)</f>
        <v>14750</v>
      </c>
      <c r="F1529" s="5" t="s">
        <v>10</v>
      </c>
    </row>
    <row r="1530" spans="1:6" ht="43.5">
      <c r="A1530" s="1" t="s">
        <v>4588</v>
      </c>
      <c r="B1530" s="4" t="s">
        <v>4589</v>
      </c>
      <c r="C1530" s="3" t="s">
        <v>4590</v>
      </c>
      <c r="D1530" s="5" t="s">
        <v>8</v>
      </c>
      <c r="E1530" s="6">
        <f>VALUE(31248.75)</f>
        <v>31248.75</v>
      </c>
      <c r="F1530" s="5" t="s">
        <v>10</v>
      </c>
    </row>
    <row r="1531" spans="1:6" ht="58">
      <c r="A1531" s="1" t="s">
        <v>4591</v>
      </c>
      <c r="B1531" s="4" t="s">
        <v>4592</v>
      </c>
      <c r="C1531" s="3" t="s">
        <v>4593</v>
      </c>
      <c r="D1531" s="5" t="s">
        <v>8</v>
      </c>
      <c r="E1531" s="6">
        <f>VALUE(23748.75)</f>
        <v>23748.75</v>
      </c>
      <c r="F1531" s="5" t="s">
        <v>10</v>
      </c>
    </row>
    <row r="1532" spans="1:6" ht="58">
      <c r="A1532" s="1" t="s">
        <v>4594</v>
      </c>
      <c r="B1532" s="4" t="s">
        <v>4595</v>
      </c>
      <c r="C1532" s="3" t="s">
        <v>4596</v>
      </c>
      <c r="D1532" s="5" t="s">
        <v>8</v>
      </c>
      <c r="E1532" s="6">
        <f>VALUE(9998.75)</f>
        <v>9998.75</v>
      </c>
      <c r="F1532" s="5" t="s">
        <v>10</v>
      </c>
    </row>
    <row r="1533" spans="1:6" ht="58">
      <c r="A1533" s="1" t="s">
        <v>4597</v>
      </c>
      <c r="B1533" s="4" t="s">
        <v>4598</v>
      </c>
      <c r="C1533" s="3" t="s">
        <v>4599</v>
      </c>
      <c r="D1533" s="5" t="s">
        <v>8</v>
      </c>
      <c r="E1533" s="6">
        <f>VALUE(3748.75)</f>
        <v>3748.75</v>
      </c>
      <c r="F1533" s="5" t="s">
        <v>10</v>
      </c>
    </row>
    <row r="1534" spans="1:6" ht="43.5">
      <c r="A1534" s="1" t="s">
        <v>4600</v>
      </c>
      <c r="B1534" s="4" t="s">
        <v>4601</v>
      </c>
      <c r="C1534" s="3" t="s">
        <v>4602</v>
      </c>
      <c r="D1534" s="5" t="s">
        <v>8</v>
      </c>
      <c r="E1534" s="6">
        <f>VALUE(373.75)</f>
        <v>373.75</v>
      </c>
      <c r="F1534" s="5" t="s">
        <v>10</v>
      </c>
    </row>
    <row r="1535" spans="1:6" ht="58">
      <c r="A1535" s="1" t="s">
        <v>4603</v>
      </c>
      <c r="B1535" s="4" t="s">
        <v>4604</v>
      </c>
      <c r="C1535" s="3" t="s">
        <v>4605</v>
      </c>
      <c r="D1535" s="5" t="s">
        <v>8</v>
      </c>
      <c r="E1535" s="6">
        <f>VALUE(373.75)</f>
        <v>373.75</v>
      </c>
      <c r="F1535" s="5" t="s">
        <v>10</v>
      </c>
    </row>
    <row r="1536" spans="1:6" ht="43.5">
      <c r="A1536" s="1" t="s">
        <v>4606</v>
      </c>
      <c r="B1536" s="4" t="s">
        <v>4607</v>
      </c>
      <c r="C1536" s="3" t="s">
        <v>4608</v>
      </c>
      <c r="D1536" s="5" t="s">
        <v>8</v>
      </c>
      <c r="E1536" s="6">
        <f>VALUE(423.75)</f>
        <v>423.75</v>
      </c>
      <c r="F1536" s="5" t="s">
        <v>10</v>
      </c>
    </row>
    <row r="1537" spans="1:6" ht="43.5">
      <c r="A1537" s="1" t="s">
        <v>4609</v>
      </c>
      <c r="B1537" s="4" t="s">
        <v>4610</v>
      </c>
      <c r="C1537" s="3" t="s">
        <v>4611</v>
      </c>
      <c r="D1537" s="5" t="s">
        <v>8</v>
      </c>
      <c r="E1537" s="6">
        <f>VALUE(548.75)</f>
        <v>548.75</v>
      </c>
      <c r="F1537" s="5" t="s">
        <v>10</v>
      </c>
    </row>
    <row r="1538" spans="1:6" ht="58">
      <c r="A1538" s="1" t="s">
        <v>4612</v>
      </c>
      <c r="B1538" s="4" t="s">
        <v>4613</v>
      </c>
      <c r="C1538" s="3" t="s">
        <v>4614</v>
      </c>
      <c r="D1538" s="5" t="s">
        <v>8</v>
      </c>
      <c r="E1538" s="6">
        <f>VALUE(548.75)</f>
        <v>548.75</v>
      </c>
      <c r="F1538" s="5" t="s">
        <v>10</v>
      </c>
    </row>
    <row r="1539" spans="1:6" ht="43.5">
      <c r="A1539" s="1" t="s">
        <v>4615</v>
      </c>
      <c r="B1539" s="4" t="s">
        <v>4616</v>
      </c>
      <c r="C1539" s="3" t="s">
        <v>4617</v>
      </c>
      <c r="D1539" s="5" t="s">
        <v>8</v>
      </c>
      <c r="E1539" s="6">
        <f>VALUE(598.75)</f>
        <v>598.75</v>
      </c>
      <c r="F1539" s="5" t="s">
        <v>10</v>
      </c>
    </row>
    <row r="1540" spans="1:6" ht="58">
      <c r="A1540" s="1" t="s">
        <v>4618</v>
      </c>
      <c r="B1540" s="4" t="s">
        <v>4619</v>
      </c>
      <c r="C1540" s="3" t="s">
        <v>4620</v>
      </c>
      <c r="D1540" s="5" t="s">
        <v>8</v>
      </c>
      <c r="E1540" s="6">
        <f>VALUE(500)</f>
        <v>500</v>
      </c>
      <c r="F1540" s="5" t="s">
        <v>10</v>
      </c>
    </row>
    <row r="1541" spans="1:6" ht="58">
      <c r="A1541" s="1" t="s">
        <v>4621</v>
      </c>
      <c r="B1541" s="4" t="s">
        <v>4622</v>
      </c>
      <c r="C1541" s="3" t="s">
        <v>4623</v>
      </c>
      <c r="D1541" s="5" t="s">
        <v>8</v>
      </c>
      <c r="E1541" s="6">
        <f>VALUE(2500)</f>
        <v>2500</v>
      </c>
      <c r="F1541" s="5" t="s">
        <v>10</v>
      </c>
    </row>
    <row r="1542" spans="1:6" ht="58">
      <c r="A1542" s="1" t="s">
        <v>4624</v>
      </c>
      <c r="B1542" s="4" t="s">
        <v>4625</v>
      </c>
      <c r="C1542" s="3" t="s">
        <v>4626</v>
      </c>
      <c r="D1542" s="5" t="s">
        <v>8</v>
      </c>
      <c r="E1542" s="6">
        <f>VALUE(8248.75)</f>
        <v>8248.75</v>
      </c>
      <c r="F1542" s="5" t="s">
        <v>10</v>
      </c>
    </row>
    <row r="1543" spans="1:6" ht="58">
      <c r="A1543" s="1" t="s">
        <v>4627</v>
      </c>
      <c r="B1543" s="4" t="s">
        <v>4628</v>
      </c>
      <c r="C1543" s="3" t="s">
        <v>4629</v>
      </c>
      <c r="D1543" s="5" t="s">
        <v>8</v>
      </c>
      <c r="E1543" s="6">
        <f>VALUE(3748.75)</f>
        <v>3748.75</v>
      </c>
      <c r="F1543" s="5" t="s">
        <v>10</v>
      </c>
    </row>
    <row r="1544" spans="1:6" ht="58">
      <c r="A1544" s="1" t="s">
        <v>4630</v>
      </c>
      <c r="B1544" s="4" t="s">
        <v>4631</v>
      </c>
      <c r="C1544" s="3" t="s">
        <v>4632</v>
      </c>
      <c r="D1544" s="5" t="s">
        <v>8</v>
      </c>
      <c r="E1544" s="6">
        <f>VALUE(4998.75)</f>
        <v>4998.75</v>
      </c>
      <c r="F1544" s="5" t="s">
        <v>10</v>
      </c>
    </row>
    <row r="1545" spans="1:6" ht="58">
      <c r="A1545" s="1" t="s">
        <v>4633</v>
      </c>
      <c r="B1545" s="4" t="s">
        <v>4634</v>
      </c>
      <c r="C1545" s="3" t="s">
        <v>4635</v>
      </c>
      <c r="D1545" s="5" t="s">
        <v>8</v>
      </c>
      <c r="E1545" s="6">
        <f>VALUE(14998.75)</f>
        <v>14998.75</v>
      </c>
      <c r="F1545" s="5" t="s">
        <v>10</v>
      </c>
    </row>
    <row r="1546" spans="1:6" ht="29">
      <c r="A1546" s="1" t="s">
        <v>4636</v>
      </c>
      <c r="B1546" s="4" t="s">
        <v>4637</v>
      </c>
      <c r="C1546" s="3" t="s">
        <v>4638</v>
      </c>
      <c r="D1546" s="5" t="s">
        <v>8</v>
      </c>
      <c r="E1546" s="6">
        <f>VALUE(599.75)</f>
        <v>599.75</v>
      </c>
      <c r="F1546" s="5" t="s">
        <v>10</v>
      </c>
    </row>
    <row r="1547" spans="1:6" ht="29">
      <c r="A1547" s="1" t="s">
        <v>4639</v>
      </c>
      <c r="B1547" s="4" t="s">
        <v>4640</v>
      </c>
      <c r="C1547" s="3" t="s">
        <v>4641</v>
      </c>
      <c r="D1547" s="5" t="s">
        <v>8</v>
      </c>
      <c r="E1547" s="6">
        <f>VALUE(2249.75)</f>
        <v>2249.75</v>
      </c>
      <c r="F1547" s="5" t="s">
        <v>10</v>
      </c>
    </row>
    <row r="1548" spans="1:6" ht="29">
      <c r="A1548" s="1" t="s">
        <v>4642</v>
      </c>
      <c r="B1548" s="4" t="s">
        <v>4643</v>
      </c>
      <c r="C1548" s="3" t="s">
        <v>4644</v>
      </c>
      <c r="D1548" s="5" t="s">
        <v>8</v>
      </c>
      <c r="E1548" s="6">
        <f>VALUE(2349.75)</f>
        <v>2349.75</v>
      </c>
      <c r="F1548" s="5" t="s">
        <v>10</v>
      </c>
    </row>
    <row r="1549" spans="1:6" ht="29">
      <c r="A1549" s="1" t="s">
        <v>4645</v>
      </c>
      <c r="B1549" s="4" t="s">
        <v>4646</v>
      </c>
      <c r="C1549" s="3" t="s">
        <v>4647</v>
      </c>
      <c r="D1549" s="5" t="s">
        <v>8</v>
      </c>
      <c r="E1549" s="6">
        <f>VALUE(2999.75)</f>
        <v>2999.75</v>
      </c>
      <c r="F1549" s="5" t="s">
        <v>10</v>
      </c>
    </row>
    <row r="1550" spans="1:6">
      <c r="A1550" s="1" t="s">
        <v>4648</v>
      </c>
      <c r="B1550" s="4" t="s">
        <v>4649</v>
      </c>
      <c r="C1550" s="3" t="s">
        <v>4650</v>
      </c>
      <c r="D1550" s="5" t="s">
        <v>8</v>
      </c>
      <c r="E1550" s="6">
        <f>VALUE(2249.75)</f>
        <v>2249.75</v>
      </c>
      <c r="F1550" s="5" t="s">
        <v>10</v>
      </c>
    </row>
    <row r="1551" spans="1:6" ht="43.5">
      <c r="A1551" s="1" t="s">
        <v>4651</v>
      </c>
      <c r="B1551" s="4" t="s">
        <v>4652</v>
      </c>
      <c r="C1551" s="3" t="s">
        <v>4653</v>
      </c>
      <c r="D1551" s="5" t="s">
        <v>8</v>
      </c>
      <c r="E1551" s="6">
        <f>VALUE(2999.75)</f>
        <v>2999.75</v>
      </c>
      <c r="F1551" s="5" t="s">
        <v>10</v>
      </c>
    </row>
    <row r="1552" spans="1:6" ht="29">
      <c r="A1552" s="1" t="s">
        <v>4654</v>
      </c>
      <c r="B1552" s="4" t="s">
        <v>4655</v>
      </c>
      <c r="C1552" s="3" t="s">
        <v>4656</v>
      </c>
      <c r="D1552" s="5" t="s">
        <v>8</v>
      </c>
      <c r="E1552" s="6">
        <f>VALUE(1499.75)</f>
        <v>1499.75</v>
      </c>
      <c r="F1552" s="5" t="s">
        <v>10</v>
      </c>
    </row>
    <row r="1553" spans="1:6" ht="29">
      <c r="A1553" s="1" t="s">
        <v>4657</v>
      </c>
      <c r="B1553" s="4" t="s">
        <v>4658</v>
      </c>
      <c r="C1553" s="3" t="s">
        <v>4659</v>
      </c>
      <c r="D1553" s="5" t="s">
        <v>8</v>
      </c>
      <c r="E1553" s="6">
        <f>VALUE(599.75)</f>
        <v>599.75</v>
      </c>
      <c r="F1553" s="5" t="s">
        <v>10</v>
      </c>
    </row>
    <row r="1554" spans="1:6" ht="29">
      <c r="A1554" s="1" t="s">
        <v>4660</v>
      </c>
      <c r="B1554" s="4" t="s">
        <v>4661</v>
      </c>
      <c r="C1554" s="3" t="s">
        <v>4662</v>
      </c>
      <c r="D1554" s="5" t="s">
        <v>8</v>
      </c>
      <c r="E1554" s="6">
        <f>VALUE(499.75)</f>
        <v>499.75</v>
      </c>
      <c r="F1554" s="5" t="s">
        <v>10</v>
      </c>
    </row>
    <row r="1555" spans="1:6" ht="29">
      <c r="A1555" s="1" t="s">
        <v>4663</v>
      </c>
      <c r="B1555" s="4" t="s">
        <v>4664</v>
      </c>
      <c r="C1555" s="3" t="s">
        <v>4665</v>
      </c>
      <c r="D1555" s="5" t="s">
        <v>8</v>
      </c>
      <c r="E1555" s="6">
        <f>VALUE(1999.75)</f>
        <v>1999.75</v>
      </c>
      <c r="F1555" s="5" t="s">
        <v>10</v>
      </c>
    </row>
    <row r="1556" spans="1:6" ht="29">
      <c r="A1556" s="1" t="s">
        <v>4666</v>
      </c>
      <c r="B1556" s="4" t="s">
        <v>4667</v>
      </c>
      <c r="C1556" s="3" t="s">
        <v>4668</v>
      </c>
      <c r="D1556" s="5" t="s">
        <v>8</v>
      </c>
      <c r="E1556" s="6">
        <f>VALUE(1499.75)</f>
        <v>1499.75</v>
      </c>
      <c r="F1556" s="5" t="s">
        <v>10</v>
      </c>
    </row>
    <row r="1557" spans="1:6" ht="29">
      <c r="A1557" s="1" t="s">
        <v>4669</v>
      </c>
      <c r="B1557" s="4" t="s">
        <v>4670</v>
      </c>
      <c r="C1557" s="3" t="s">
        <v>4671</v>
      </c>
      <c r="D1557" s="5" t="s">
        <v>8</v>
      </c>
      <c r="E1557" s="6">
        <f>VALUE(999.75)</f>
        <v>999.75</v>
      </c>
      <c r="F1557" s="5" t="s">
        <v>10</v>
      </c>
    </row>
    <row r="1558" spans="1:6" ht="29">
      <c r="A1558" s="1" t="s">
        <v>4672</v>
      </c>
      <c r="B1558" s="4" t="s">
        <v>4673</v>
      </c>
      <c r="C1558" s="3" t="s">
        <v>4674</v>
      </c>
      <c r="D1558" s="5" t="s">
        <v>8</v>
      </c>
      <c r="E1558" s="6">
        <f>VALUE(1499.75)</f>
        <v>1499.75</v>
      </c>
      <c r="F1558" s="5" t="s">
        <v>10</v>
      </c>
    </row>
    <row r="1559" spans="1:6" ht="29">
      <c r="A1559" s="1" t="s">
        <v>4675</v>
      </c>
      <c r="B1559" s="4" t="s">
        <v>4676</v>
      </c>
      <c r="C1559" s="3" t="s">
        <v>4677</v>
      </c>
      <c r="D1559" s="5" t="s">
        <v>8</v>
      </c>
      <c r="E1559" s="6">
        <f>VALUE(1799.75)</f>
        <v>1799.75</v>
      </c>
      <c r="F1559" s="5" t="s">
        <v>10</v>
      </c>
    </row>
    <row r="1560" spans="1:6" ht="29">
      <c r="A1560" s="1" t="s">
        <v>4678</v>
      </c>
      <c r="B1560" s="4" t="s">
        <v>4679</v>
      </c>
      <c r="C1560" s="3" t="s">
        <v>4680</v>
      </c>
      <c r="D1560" s="5" t="s">
        <v>8</v>
      </c>
      <c r="E1560" s="6">
        <f>VALUE(3999.75)</f>
        <v>3999.75</v>
      </c>
      <c r="F1560" s="5" t="s">
        <v>10</v>
      </c>
    </row>
    <row r="1561" spans="1:6" ht="29">
      <c r="A1561" s="1" t="s">
        <v>4681</v>
      </c>
      <c r="B1561" s="4" t="s">
        <v>4682</v>
      </c>
      <c r="C1561" s="3" t="s">
        <v>4683</v>
      </c>
      <c r="D1561" s="5" t="s">
        <v>8</v>
      </c>
      <c r="E1561" s="6">
        <f>VALUE(5995)</f>
        <v>5995</v>
      </c>
      <c r="F1561" s="5" t="s">
        <v>10</v>
      </c>
    </row>
    <row r="1562" spans="1:6" ht="29">
      <c r="A1562" s="1" t="s">
        <v>4684</v>
      </c>
      <c r="B1562" s="4" t="s">
        <v>4685</v>
      </c>
      <c r="C1562" s="3" t="s">
        <v>4686</v>
      </c>
      <c r="D1562" s="5" t="s">
        <v>8</v>
      </c>
      <c r="E1562" s="6">
        <f>VALUE(7995)</f>
        <v>7995</v>
      </c>
      <c r="F1562" s="5" t="s">
        <v>10</v>
      </c>
    </row>
    <row r="1563" spans="1:6" ht="29">
      <c r="A1563" s="1" t="s">
        <v>4687</v>
      </c>
      <c r="B1563" s="4" t="s">
        <v>4688</v>
      </c>
      <c r="C1563" s="3" t="s">
        <v>4689</v>
      </c>
      <c r="D1563" s="5" t="s">
        <v>8</v>
      </c>
      <c r="E1563" s="6">
        <f>VALUE(4995)</f>
        <v>4995</v>
      </c>
      <c r="F1563" s="5" t="s">
        <v>10</v>
      </c>
    </row>
    <row r="1564" spans="1:6" ht="29">
      <c r="A1564" s="1" t="s">
        <v>4690</v>
      </c>
      <c r="B1564" s="4" t="s">
        <v>4691</v>
      </c>
      <c r="C1564" s="3" t="s">
        <v>4692</v>
      </c>
      <c r="D1564" s="5" t="s">
        <v>8</v>
      </c>
      <c r="E1564" s="6">
        <f>VALUE(4995)</f>
        <v>4995</v>
      </c>
      <c r="F1564" s="5" t="s">
        <v>10</v>
      </c>
    </row>
    <row r="1565" spans="1:6">
      <c r="A1565" s="1" t="s">
        <v>4693</v>
      </c>
      <c r="B1565" s="4" t="s">
        <v>4694</v>
      </c>
      <c r="C1565" s="3" t="s">
        <v>4695</v>
      </c>
      <c r="D1565" s="5" t="s">
        <v>8</v>
      </c>
      <c r="E1565" s="6">
        <f>VALUE(9995)</f>
        <v>9995</v>
      </c>
      <c r="F1565" s="5" t="s">
        <v>10</v>
      </c>
    </row>
    <row r="1566" spans="1:6" ht="29">
      <c r="A1566" s="1" t="s">
        <v>4696</v>
      </c>
      <c r="B1566" s="4" t="s">
        <v>4697</v>
      </c>
      <c r="C1566" s="3" t="s">
        <v>4698</v>
      </c>
      <c r="D1566" s="5" t="s">
        <v>8</v>
      </c>
      <c r="E1566" s="6">
        <f>VALUE(19995)</f>
        <v>19995</v>
      </c>
      <c r="F1566" s="5" t="s">
        <v>10</v>
      </c>
    </row>
    <row r="1567" spans="1:6" ht="29">
      <c r="A1567" s="1" t="s">
        <v>4699</v>
      </c>
      <c r="B1567" s="4" t="s">
        <v>4700</v>
      </c>
      <c r="C1567" s="3" t="s">
        <v>4701</v>
      </c>
      <c r="D1567" s="5" t="s">
        <v>8</v>
      </c>
      <c r="E1567" s="6">
        <f>VALUE(4995)</f>
        <v>4995</v>
      </c>
      <c r="F1567" s="5" t="s">
        <v>10</v>
      </c>
    </row>
    <row r="1568" spans="1:6" ht="29">
      <c r="A1568" s="1" t="s">
        <v>4702</v>
      </c>
      <c r="B1568" s="4" t="s">
        <v>4703</v>
      </c>
      <c r="C1568" s="3" t="s">
        <v>4704</v>
      </c>
      <c r="D1568" s="5" t="s">
        <v>8</v>
      </c>
      <c r="E1568" s="6">
        <f>VALUE(5995)</f>
        <v>5995</v>
      </c>
      <c r="F1568" s="5" t="s">
        <v>10</v>
      </c>
    </row>
    <row r="1569" spans="1:6" ht="29">
      <c r="A1569" s="1" t="s">
        <v>4705</v>
      </c>
      <c r="B1569" s="4" t="s">
        <v>4706</v>
      </c>
      <c r="C1569" s="3" t="s">
        <v>4707</v>
      </c>
      <c r="D1569" s="5" t="s">
        <v>8</v>
      </c>
      <c r="E1569" s="6">
        <f>VALUE(3995)</f>
        <v>3995</v>
      </c>
      <c r="F1569" s="5" t="s">
        <v>10</v>
      </c>
    </row>
    <row r="1570" spans="1:6" ht="29">
      <c r="A1570" s="1" t="s">
        <v>4708</v>
      </c>
      <c r="B1570" s="4" t="s">
        <v>4709</v>
      </c>
      <c r="C1570" s="3" t="s">
        <v>4710</v>
      </c>
      <c r="D1570" s="5" t="s">
        <v>8</v>
      </c>
      <c r="E1570" s="6">
        <f>VALUE(4995)</f>
        <v>4995</v>
      </c>
      <c r="F1570" s="5" t="s">
        <v>10</v>
      </c>
    </row>
    <row r="1571" spans="1:6" ht="29">
      <c r="A1571" s="1" t="s">
        <v>4711</v>
      </c>
      <c r="B1571" s="4" t="s">
        <v>4712</v>
      </c>
      <c r="C1571" s="3" t="s">
        <v>4713</v>
      </c>
      <c r="D1571" s="5" t="s">
        <v>8</v>
      </c>
      <c r="E1571" s="6">
        <f>VALUE(2995)</f>
        <v>2995</v>
      </c>
      <c r="F1571" s="5" t="s">
        <v>10</v>
      </c>
    </row>
    <row r="1572" spans="1:6" ht="29">
      <c r="A1572" s="1" t="s">
        <v>4714</v>
      </c>
      <c r="B1572" s="4" t="s">
        <v>4715</v>
      </c>
      <c r="C1572" s="3" t="s">
        <v>4716</v>
      </c>
      <c r="D1572" s="5" t="s">
        <v>8</v>
      </c>
      <c r="E1572" s="6">
        <f>VALUE(1995)</f>
        <v>1995</v>
      </c>
      <c r="F1572" s="5" t="s">
        <v>10</v>
      </c>
    </row>
    <row r="1573" spans="1:6" ht="29">
      <c r="A1573" s="1" t="s">
        <v>4717</v>
      </c>
      <c r="B1573" s="4" t="s">
        <v>4718</v>
      </c>
      <c r="C1573" s="3" t="s">
        <v>4719</v>
      </c>
      <c r="D1573" s="5" t="s">
        <v>8</v>
      </c>
      <c r="E1573" s="6">
        <f>VALUE(16495)</f>
        <v>16495</v>
      </c>
      <c r="F1573" s="5" t="s">
        <v>10</v>
      </c>
    </row>
    <row r="1574" spans="1:6" ht="29">
      <c r="A1574" s="1" t="s">
        <v>4720</v>
      </c>
      <c r="B1574" s="4" t="s">
        <v>4721</v>
      </c>
      <c r="C1574" s="3" t="s">
        <v>4722</v>
      </c>
      <c r="D1574" s="5" t="s">
        <v>8</v>
      </c>
      <c r="E1574" s="6">
        <f>VALUE(5495)</f>
        <v>5495</v>
      </c>
      <c r="F1574" s="5" t="s">
        <v>10</v>
      </c>
    </row>
    <row r="1575" spans="1:6" ht="29">
      <c r="A1575" s="1" t="s">
        <v>4723</v>
      </c>
      <c r="B1575" s="4" t="s">
        <v>4724</v>
      </c>
      <c r="C1575" s="3" t="s">
        <v>4725</v>
      </c>
      <c r="D1575" s="5" t="s">
        <v>8</v>
      </c>
      <c r="E1575" s="6">
        <f>VALUE(16495)</f>
        <v>16495</v>
      </c>
      <c r="F1575" s="5" t="s">
        <v>10</v>
      </c>
    </row>
    <row r="1576" spans="1:6" ht="58">
      <c r="A1576" s="1" t="s">
        <v>4726</v>
      </c>
      <c r="B1576" s="4" t="s">
        <v>4727</v>
      </c>
      <c r="C1576" s="3" t="s">
        <v>4728</v>
      </c>
      <c r="D1576" s="5" t="s">
        <v>8</v>
      </c>
      <c r="E1576" s="6">
        <f>VALUE(2498.75)</f>
        <v>2498.75</v>
      </c>
      <c r="F1576" s="5" t="s">
        <v>10</v>
      </c>
    </row>
    <row r="1577" spans="1:6" ht="58">
      <c r="A1577" s="1" t="s">
        <v>4729</v>
      </c>
      <c r="B1577" s="4" t="s">
        <v>4730</v>
      </c>
      <c r="C1577" s="3" t="s">
        <v>4731</v>
      </c>
      <c r="D1577" s="5" t="s">
        <v>8</v>
      </c>
      <c r="E1577" s="6">
        <f>VALUE(49998.75)</f>
        <v>49998.75</v>
      </c>
      <c r="F1577" s="5" t="s">
        <v>10</v>
      </c>
    </row>
    <row r="1578" spans="1:6" ht="58">
      <c r="A1578" s="1" t="s">
        <v>4732</v>
      </c>
      <c r="B1578" s="4" t="s">
        <v>4733</v>
      </c>
      <c r="C1578" s="3" t="s">
        <v>4734</v>
      </c>
      <c r="D1578" s="5" t="s">
        <v>8</v>
      </c>
      <c r="E1578" s="6">
        <f>VALUE(14998.75)</f>
        <v>14998.75</v>
      </c>
      <c r="F1578" s="5" t="s">
        <v>10</v>
      </c>
    </row>
    <row r="1579" spans="1:6" ht="58">
      <c r="A1579" s="1" t="s">
        <v>4735</v>
      </c>
      <c r="B1579" s="4" t="s">
        <v>4736</v>
      </c>
      <c r="C1579" s="3" t="s">
        <v>4737</v>
      </c>
      <c r="D1579" s="5" t="s">
        <v>8</v>
      </c>
      <c r="E1579" s="6">
        <f>VALUE(7498.75)</f>
        <v>7498.75</v>
      </c>
      <c r="F1579" s="5" t="s">
        <v>10</v>
      </c>
    </row>
    <row r="1580" spans="1:6" ht="58">
      <c r="A1580" s="1" t="s">
        <v>4738</v>
      </c>
      <c r="B1580" s="4" t="s">
        <v>4739</v>
      </c>
      <c r="C1580" s="3" t="s">
        <v>4740</v>
      </c>
      <c r="D1580" s="5" t="s">
        <v>8</v>
      </c>
      <c r="E1580" s="6">
        <f>VALUE(4998.75)</f>
        <v>4998.75</v>
      </c>
      <c r="F1580" s="5" t="s">
        <v>10</v>
      </c>
    </row>
    <row r="1581" spans="1:6" ht="58">
      <c r="A1581" s="1" t="s">
        <v>4741</v>
      </c>
      <c r="B1581" s="4" t="s">
        <v>4742</v>
      </c>
      <c r="C1581" s="3" t="s">
        <v>4743</v>
      </c>
      <c r="D1581" s="5" t="s">
        <v>8</v>
      </c>
      <c r="E1581" s="6">
        <f>VALUE(1248.75)</f>
        <v>1248.75</v>
      </c>
      <c r="F1581" s="5" t="s">
        <v>10</v>
      </c>
    </row>
    <row r="1582" spans="1:6" ht="58">
      <c r="A1582" s="1" t="s">
        <v>4744</v>
      </c>
      <c r="B1582" s="4" t="s">
        <v>4745</v>
      </c>
      <c r="C1582" s="3" t="s">
        <v>4746</v>
      </c>
      <c r="D1582" s="5" t="s">
        <v>8</v>
      </c>
      <c r="E1582" s="6">
        <f>VALUE(6248.75)</f>
        <v>6248.75</v>
      </c>
      <c r="F1582" s="5" t="s">
        <v>10</v>
      </c>
    </row>
    <row r="1583" spans="1:6" ht="58">
      <c r="A1583" s="1" t="s">
        <v>4747</v>
      </c>
      <c r="B1583" s="4" t="s">
        <v>4748</v>
      </c>
      <c r="C1583" s="3" t="s">
        <v>4749</v>
      </c>
      <c r="D1583" s="5" t="s">
        <v>8</v>
      </c>
      <c r="E1583" s="6">
        <f>VALUE(8748.75)</f>
        <v>8748.75</v>
      </c>
      <c r="F1583" s="5" t="s">
        <v>10</v>
      </c>
    </row>
    <row r="1584" spans="1:6" ht="58">
      <c r="A1584" s="1" t="s">
        <v>4750</v>
      </c>
      <c r="B1584" s="4" t="s">
        <v>4751</v>
      </c>
      <c r="C1584" s="3" t="s">
        <v>4752</v>
      </c>
      <c r="D1584" s="5" t="s">
        <v>8</v>
      </c>
      <c r="E1584" s="6">
        <f>VALUE(2498.75)</f>
        <v>2498.75</v>
      </c>
      <c r="F1584" s="5" t="s">
        <v>10</v>
      </c>
    </row>
    <row r="1585" spans="1:6" ht="58">
      <c r="A1585" s="1" t="s">
        <v>4753</v>
      </c>
      <c r="B1585" s="4" t="s">
        <v>4754</v>
      </c>
      <c r="C1585" s="3" t="s">
        <v>4755</v>
      </c>
      <c r="D1585" s="5" t="s">
        <v>8</v>
      </c>
      <c r="E1585" s="6">
        <f>VALUE(2498.75)</f>
        <v>2498.75</v>
      </c>
      <c r="F1585" s="5" t="s">
        <v>10</v>
      </c>
    </row>
    <row r="1586" spans="1:6" ht="58">
      <c r="A1586" s="1" t="s">
        <v>4756</v>
      </c>
      <c r="B1586" s="4" t="s">
        <v>4757</v>
      </c>
      <c r="C1586" s="3" t="s">
        <v>4758</v>
      </c>
      <c r="D1586" s="5" t="s">
        <v>8</v>
      </c>
      <c r="E1586" s="6">
        <f>VALUE(2498.75)</f>
        <v>2498.75</v>
      </c>
      <c r="F1586" s="5" t="s">
        <v>10</v>
      </c>
    </row>
    <row r="1587" spans="1:6" ht="58">
      <c r="A1587" s="1" t="s">
        <v>4759</v>
      </c>
      <c r="B1587" s="4" t="s">
        <v>4760</v>
      </c>
      <c r="C1587" s="3" t="s">
        <v>4761</v>
      </c>
      <c r="D1587" s="5" t="s">
        <v>8</v>
      </c>
      <c r="E1587" s="6">
        <f>VALUE(12498.75)</f>
        <v>12498.75</v>
      </c>
      <c r="F1587" s="5" t="s">
        <v>10</v>
      </c>
    </row>
    <row r="1588" spans="1:6" ht="58">
      <c r="A1588" s="1" t="s">
        <v>4762</v>
      </c>
      <c r="B1588" s="4" t="s">
        <v>4763</v>
      </c>
      <c r="C1588" s="3" t="s">
        <v>4764</v>
      </c>
      <c r="D1588" s="5" t="s">
        <v>8</v>
      </c>
      <c r="E1588" s="6">
        <f>VALUE(6248.75)</f>
        <v>6248.75</v>
      </c>
      <c r="F1588" s="5" t="s">
        <v>10</v>
      </c>
    </row>
    <row r="1589" spans="1:6" ht="58">
      <c r="A1589" s="1" t="s">
        <v>4765</v>
      </c>
      <c r="B1589" s="4" t="s">
        <v>4766</v>
      </c>
      <c r="C1589" s="3" t="s">
        <v>4767</v>
      </c>
      <c r="D1589" s="5" t="s">
        <v>8</v>
      </c>
      <c r="E1589" s="6">
        <f>VALUE(7498.75)</f>
        <v>7498.75</v>
      </c>
      <c r="F1589" s="5" t="s">
        <v>10</v>
      </c>
    </row>
    <row r="1590" spans="1:6" ht="58">
      <c r="A1590" s="1" t="s">
        <v>4768</v>
      </c>
      <c r="B1590" s="4" t="s">
        <v>4769</v>
      </c>
      <c r="C1590" s="3" t="s">
        <v>4770</v>
      </c>
      <c r="D1590" s="5" t="s">
        <v>8</v>
      </c>
      <c r="E1590" s="6">
        <f>VALUE(4998.75)</f>
        <v>4998.75</v>
      </c>
      <c r="F1590" s="5" t="s">
        <v>10</v>
      </c>
    </row>
    <row r="1591" spans="1:6" ht="58">
      <c r="A1591" s="1" t="s">
        <v>4771</v>
      </c>
      <c r="B1591" s="4" t="s">
        <v>4772</v>
      </c>
      <c r="C1591" s="3" t="s">
        <v>4773</v>
      </c>
      <c r="D1591" s="5" t="s">
        <v>8</v>
      </c>
      <c r="E1591" s="6">
        <f>VALUE(2498.75)</f>
        <v>2498.75</v>
      </c>
      <c r="F1591" s="5" t="s">
        <v>10</v>
      </c>
    </row>
    <row r="1592" spans="1:6" ht="58">
      <c r="A1592" s="1" t="s">
        <v>4774</v>
      </c>
      <c r="B1592" s="4" t="s">
        <v>4775</v>
      </c>
      <c r="C1592" s="3" t="s">
        <v>4776</v>
      </c>
      <c r="D1592" s="5" t="s">
        <v>8</v>
      </c>
      <c r="E1592" s="6">
        <f>VALUE(3748.75)</f>
        <v>3748.75</v>
      </c>
      <c r="F1592" s="5" t="s">
        <v>10</v>
      </c>
    </row>
    <row r="1593" spans="1:6" ht="58">
      <c r="A1593" s="1" t="s">
        <v>4777</v>
      </c>
      <c r="B1593" s="4" t="s">
        <v>4778</v>
      </c>
      <c r="C1593" s="3" t="s">
        <v>4779</v>
      </c>
      <c r="D1593" s="5" t="s">
        <v>8</v>
      </c>
      <c r="E1593" s="6">
        <f>VALUE(7498.75)</f>
        <v>7498.75</v>
      </c>
      <c r="F1593" s="5" t="s">
        <v>10</v>
      </c>
    </row>
    <row r="1594" spans="1:6" ht="58">
      <c r="A1594" s="1" t="s">
        <v>4780</v>
      </c>
      <c r="B1594" s="4" t="s">
        <v>4781</v>
      </c>
      <c r="C1594" s="3" t="s">
        <v>4782</v>
      </c>
      <c r="D1594" s="5" t="s">
        <v>8</v>
      </c>
      <c r="E1594" s="6">
        <f>VALUE(1748.75)</f>
        <v>1748.75</v>
      </c>
      <c r="F1594" s="5" t="s">
        <v>10</v>
      </c>
    </row>
    <row r="1595" spans="1:6" ht="58">
      <c r="A1595" s="1" t="s">
        <v>4783</v>
      </c>
      <c r="B1595" s="4" t="s">
        <v>4784</v>
      </c>
      <c r="C1595" s="3" t="s">
        <v>4785</v>
      </c>
      <c r="D1595" s="5" t="s">
        <v>8</v>
      </c>
      <c r="E1595" s="6">
        <f>VALUE(2248.75)</f>
        <v>2248.75</v>
      </c>
      <c r="F1595" s="5" t="s">
        <v>10</v>
      </c>
    </row>
    <row r="1596" spans="1:6" ht="58">
      <c r="A1596" s="1" t="s">
        <v>4786</v>
      </c>
      <c r="B1596" s="4" t="s">
        <v>4787</v>
      </c>
      <c r="C1596" s="3" t="s">
        <v>4788</v>
      </c>
      <c r="D1596" s="5" t="s">
        <v>8</v>
      </c>
      <c r="E1596" s="6">
        <f>VALUE(3748.75)</f>
        <v>3748.75</v>
      </c>
      <c r="F1596" s="5" t="s">
        <v>10</v>
      </c>
    </row>
    <row r="1597" spans="1:6" ht="58">
      <c r="A1597" s="1" t="s">
        <v>4789</v>
      </c>
      <c r="B1597" s="4" t="s">
        <v>4790</v>
      </c>
      <c r="C1597" s="3" t="s">
        <v>4791</v>
      </c>
      <c r="D1597" s="5" t="s">
        <v>8</v>
      </c>
      <c r="E1597" s="6">
        <f>VALUE(4498.75)</f>
        <v>4498.75</v>
      </c>
      <c r="F1597" s="5" t="s">
        <v>10</v>
      </c>
    </row>
    <row r="1598" spans="1:6" ht="58">
      <c r="A1598" s="1" t="s">
        <v>4792</v>
      </c>
      <c r="B1598" s="4" t="s">
        <v>4793</v>
      </c>
      <c r="C1598" s="3" t="s">
        <v>4794</v>
      </c>
      <c r="D1598" s="5" t="s">
        <v>8</v>
      </c>
      <c r="E1598" s="6">
        <f>VALUE(12248.75)</f>
        <v>12248.75</v>
      </c>
      <c r="F1598" s="5" t="s">
        <v>10</v>
      </c>
    </row>
    <row r="1599" spans="1:6" ht="58">
      <c r="A1599" s="1" t="s">
        <v>4795</v>
      </c>
      <c r="B1599" s="4" t="s">
        <v>4796</v>
      </c>
      <c r="C1599" s="3" t="s">
        <v>4797</v>
      </c>
      <c r="D1599" s="5" t="s">
        <v>8</v>
      </c>
      <c r="E1599" s="6">
        <f>VALUE(24998.75)</f>
        <v>24998.75</v>
      </c>
      <c r="F1599" s="5" t="s">
        <v>10</v>
      </c>
    </row>
    <row r="1600" spans="1:6" ht="58">
      <c r="A1600" s="1" t="s">
        <v>4798</v>
      </c>
      <c r="B1600" s="4" t="s">
        <v>4799</v>
      </c>
      <c r="C1600" s="3" t="s">
        <v>4800</v>
      </c>
      <c r="D1600" s="5" t="s">
        <v>8</v>
      </c>
      <c r="E1600" s="6">
        <f>VALUE(23748.75)</f>
        <v>23748.75</v>
      </c>
      <c r="F1600" s="5" t="s">
        <v>10</v>
      </c>
    </row>
    <row r="1601" spans="1:6" ht="29">
      <c r="A1601" s="1" t="s">
        <v>4801</v>
      </c>
      <c r="B1601" s="4" t="s">
        <v>4802</v>
      </c>
      <c r="C1601" s="3" t="s">
        <v>4803</v>
      </c>
      <c r="D1601" s="5" t="s">
        <v>8</v>
      </c>
      <c r="E1601" s="6">
        <f>VALUE(21995)</f>
        <v>21995</v>
      </c>
      <c r="F1601" s="5" t="s">
        <v>10</v>
      </c>
    </row>
    <row r="1602" spans="1:6" ht="29">
      <c r="A1602" s="1" t="s">
        <v>4804</v>
      </c>
      <c r="B1602" s="4" t="s">
        <v>4805</v>
      </c>
      <c r="C1602" s="3" t="s">
        <v>4806</v>
      </c>
      <c r="D1602" s="5" t="s">
        <v>8</v>
      </c>
      <c r="E1602" s="6">
        <f>VALUE(21995)</f>
        <v>21995</v>
      </c>
      <c r="F1602" s="5" t="s">
        <v>10</v>
      </c>
    </row>
    <row r="1603" spans="1:6" ht="29">
      <c r="A1603" s="1" t="s">
        <v>4807</v>
      </c>
      <c r="B1603" s="4" t="s">
        <v>4808</v>
      </c>
      <c r="C1603" s="3" t="s">
        <v>4809</v>
      </c>
      <c r="D1603" s="5" t="s">
        <v>8</v>
      </c>
      <c r="E1603" s="6">
        <f>VALUE(32995)</f>
        <v>32995</v>
      </c>
      <c r="F1603" s="5" t="s">
        <v>10</v>
      </c>
    </row>
    <row r="1604" spans="1:6" ht="29">
      <c r="A1604" s="1" t="s">
        <v>4810</v>
      </c>
      <c r="B1604" s="4" t="s">
        <v>4811</v>
      </c>
      <c r="C1604" s="3" t="s">
        <v>4812</v>
      </c>
      <c r="D1604" s="5" t="s">
        <v>8</v>
      </c>
      <c r="E1604" s="6">
        <f>VALUE(43995)</f>
        <v>43995</v>
      </c>
      <c r="F1604" s="5" t="s">
        <v>10</v>
      </c>
    </row>
    <row r="1605" spans="1:6" ht="29">
      <c r="A1605" s="1" t="s">
        <v>4813</v>
      </c>
      <c r="B1605" s="4" t="s">
        <v>4814</v>
      </c>
      <c r="C1605" s="3" t="s">
        <v>4815</v>
      </c>
      <c r="D1605" s="5" t="s">
        <v>8</v>
      </c>
      <c r="E1605" s="6">
        <f>VALUE(6595)</f>
        <v>6595</v>
      </c>
      <c r="F1605" s="5" t="s">
        <v>10</v>
      </c>
    </row>
    <row r="1606" spans="1:6" ht="29">
      <c r="A1606" s="1" t="s">
        <v>4816</v>
      </c>
      <c r="B1606" s="4" t="s">
        <v>4817</v>
      </c>
      <c r="C1606" s="3" t="s">
        <v>4818</v>
      </c>
      <c r="D1606" s="5" t="s">
        <v>8</v>
      </c>
      <c r="E1606" s="6">
        <f>VALUE(16495)</f>
        <v>16495</v>
      </c>
      <c r="F1606" s="5" t="s">
        <v>10</v>
      </c>
    </row>
    <row r="1607" spans="1:6" ht="29">
      <c r="A1607" s="1" t="s">
        <v>4819</v>
      </c>
      <c r="B1607" s="4" t="s">
        <v>4820</v>
      </c>
      <c r="C1607" s="3" t="s">
        <v>4821</v>
      </c>
      <c r="D1607" s="5" t="s">
        <v>8</v>
      </c>
      <c r="E1607" s="6">
        <f>VALUE(28515)</f>
        <v>28515</v>
      </c>
      <c r="F1607" s="5" t="s">
        <v>10</v>
      </c>
    </row>
    <row r="1608" spans="1:6" ht="29">
      <c r="A1608" s="1" t="s">
        <v>4822</v>
      </c>
      <c r="B1608" s="4" t="s">
        <v>4823</v>
      </c>
      <c r="C1608" s="3" t="s">
        <v>4824</v>
      </c>
      <c r="D1608" s="5" t="s">
        <v>8</v>
      </c>
      <c r="E1608" s="6">
        <f>VALUE(19795)</f>
        <v>19795</v>
      </c>
      <c r="F1608" s="5" t="s">
        <v>10</v>
      </c>
    </row>
    <row r="1609" spans="1:6" ht="43.5">
      <c r="A1609" s="1" t="s">
        <v>4825</v>
      </c>
      <c r="B1609" s="4" t="s">
        <v>4826</v>
      </c>
      <c r="C1609" s="3" t="s">
        <v>4827</v>
      </c>
      <c r="D1609" s="5" t="s">
        <v>8</v>
      </c>
      <c r="E1609" s="6">
        <f>VALUE(34455)</f>
        <v>34455</v>
      </c>
      <c r="F1609" s="5" t="s">
        <v>10</v>
      </c>
    </row>
    <row r="1610" spans="1:6" ht="43.5">
      <c r="A1610" s="1" t="s">
        <v>4828</v>
      </c>
      <c r="B1610" s="4" t="s">
        <v>4829</v>
      </c>
      <c r="C1610" s="3" t="s">
        <v>4830</v>
      </c>
      <c r="D1610" s="5" t="s">
        <v>8</v>
      </c>
      <c r="E1610" s="6">
        <f>VALUE(48995)</f>
        <v>48995</v>
      </c>
      <c r="F1610" s="5" t="s">
        <v>10</v>
      </c>
    </row>
    <row r="1611" spans="1:6" ht="29">
      <c r="A1611" s="1" t="s">
        <v>4831</v>
      </c>
      <c r="B1611" s="4" t="s">
        <v>4832</v>
      </c>
      <c r="C1611" s="3" t="s">
        <v>4833</v>
      </c>
      <c r="D1611" s="5" t="s">
        <v>8</v>
      </c>
      <c r="E1611" s="6">
        <f>VALUE(14995)</f>
        <v>14995</v>
      </c>
      <c r="F1611" s="5" t="s">
        <v>10</v>
      </c>
    </row>
    <row r="1612" spans="1:6" ht="29">
      <c r="A1612" s="1" t="s">
        <v>4834</v>
      </c>
      <c r="B1612" s="4" t="s">
        <v>4835</v>
      </c>
      <c r="C1612" s="3" t="s">
        <v>4836</v>
      </c>
      <c r="D1612" s="5" t="s">
        <v>8</v>
      </c>
      <c r="E1612" s="6">
        <f>VALUE(6995)</f>
        <v>6995</v>
      </c>
      <c r="F1612" s="5" t="s">
        <v>10</v>
      </c>
    </row>
    <row r="1613" spans="1:6" ht="29">
      <c r="A1613" s="1" t="s">
        <v>4837</v>
      </c>
      <c r="B1613" s="4" t="s">
        <v>4838</v>
      </c>
      <c r="C1613" s="3" t="s">
        <v>4839</v>
      </c>
      <c r="D1613" s="5" t="s">
        <v>8</v>
      </c>
      <c r="E1613" s="6">
        <f>VALUE(14995)</f>
        <v>14995</v>
      </c>
      <c r="F1613" s="5" t="s">
        <v>10</v>
      </c>
    </row>
    <row r="1614" spans="1:6" ht="29">
      <c r="A1614" s="1" t="s">
        <v>4840</v>
      </c>
      <c r="B1614" s="4" t="s">
        <v>4841</v>
      </c>
      <c r="C1614" s="3" t="s">
        <v>4842</v>
      </c>
      <c r="D1614" s="5" t="s">
        <v>8</v>
      </c>
      <c r="E1614" s="6">
        <f>VALUE(29995)</f>
        <v>29995</v>
      </c>
      <c r="F1614" s="5" t="s">
        <v>10</v>
      </c>
    </row>
    <row r="1615" spans="1:6" ht="29">
      <c r="A1615" s="1" t="s">
        <v>4843</v>
      </c>
      <c r="B1615" s="4" t="s">
        <v>4844</v>
      </c>
      <c r="C1615" s="3" t="s">
        <v>4845</v>
      </c>
      <c r="D1615" s="5" t="s">
        <v>8</v>
      </c>
      <c r="E1615" s="6">
        <f>VALUE(19995)</f>
        <v>19995</v>
      </c>
      <c r="F1615" s="5" t="s">
        <v>10</v>
      </c>
    </row>
    <row r="1616" spans="1:6" ht="29">
      <c r="A1616" s="1" t="s">
        <v>4846</v>
      </c>
      <c r="B1616" s="4" t="s">
        <v>4847</v>
      </c>
      <c r="C1616" s="3" t="s">
        <v>4848</v>
      </c>
      <c r="D1616" s="5" t="s">
        <v>8</v>
      </c>
      <c r="E1616" s="6">
        <f>VALUE(29995)</f>
        <v>29995</v>
      </c>
      <c r="F1616" s="5" t="s">
        <v>10</v>
      </c>
    </row>
    <row r="1617" spans="1:6" ht="43.5">
      <c r="A1617" s="1" t="s">
        <v>4849</v>
      </c>
      <c r="B1617" s="4" t="s">
        <v>4850</v>
      </c>
      <c r="C1617" s="3" t="s">
        <v>4851</v>
      </c>
      <c r="D1617" s="5" t="s">
        <v>8</v>
      </c>
      <c r="E1617" s="6">
        <f>VALUE(39995)</f>
        <v>39995</v>
      </c>
      <c r="F1617" s="5" t="s">
        <v>10</v>
      </c>
    </row>
    <row r="1618" spans="1:6" ht="29">
      <c r="A1618" s="1" t="s">
        <v>4852</v>
      </c>
      <c r="B1618" s="4" t="s">
        <v>4853</v>
      </c>
      <c r="C1618" s="3" t="s">
        <v>4854</v>
      </c>
      <c r="D1618" s="5" t="s">
        <v>8</v>
      </c>
      <c r="E1618" s="6">
        <f>VALUE(8995)</f>
        <v>8995</v>
      </c>
      <c r="F1618" s="5" t="s">
        <v>10</v>
      </c>
    </row>
    <row r="1619" spans="1:6" ht="29">
      <c r="A1619" s="1" t="s">
        <v>4855</v>
      </c>
      <c r="B1619" s="4" t="s">
        <v>4856</v>
      </c>
      <c r="C1619" s="3" t="s">
        <v>4857</v>
      </c>
      <c r="D1619" s="5" t="s">
        <v>8</v>
      </c>
      <c r="E1619" s="6">
        <f>VALUE(14995)</f>
        <v>14995</v>
      </c>
      <c r="F1619" s="5" t="s">
        <v>10</v>
      </c>
    </row>
    <row r="1620" spans="1:6" ht="29">
      <c r="A1620" s="1" t="s">
        <v>4858</v>
      </c>
      <c r="B1620" s="4" t="s">
        <v>4859</v>
      </c>
      <c r="C1620" s="3" t="s">
        <v>4860</v>
      </c>
      <c r="D1620" s="5" t="s">
        <v>8</v>
      </c>
      <c r="E1620" s="6">
        <f>VALUE(17995)</f>
        <v>17995</v>
      </c>
      <c r="F1620" s="5" t="s">
        <v>10</v>
      </c>
    </row>
    <row r="1621" spans="1:6" ht="29">
      <c r="A1621" s="1" t="s">
        <v>4861</v>
      </c>
      <c r="B1621" s="4" t="s">
        <v>4862</v>
      </c>
      <c r="C1621" s="3" t="s">
        <v>4863</v>
      </c>
      <c r="D1621" s="5" t="s">
        <v>8</v>
      </c>
      <c r="E1621" s="6">
        <f>VALUE(4995)</f>
        <v>4995</v>
      </c>
      <c r="F1621" s="5" t="s">
        <v>10</v>
      </c>
    </row>
    <row r="1622" spans="1:6" ht="29">
      <c r="A1622" s="1" t="s">
        <v>4864</v>
      </c>
      <c r="B1622" s="4" t="s">
        <v>4865</v>
      </c>
      <c r="C1622" s="3" t="s">
        <v>4866</v>
      </c>
      <c r="D1622" s="5" t="s">
        <v>8</v>
      </c>
      <c r="E1622" s="6">
        <f>VALUE(3995)</f>
        <v>3995</v>
      </c>
      <c r="F1622" s="5" t="s">
        <v>10</v>
      </c>
    </row>
    <row r="1623" spans="1:6" ht="29">
      <c r="A1623" s="1" t="s">
        <v>4867</v>
      </c>
      <c r="B1623" s="4" t="s">
        <v>4868</v>
      </c>
      <c r="C1623" s="3" t="s">
        <v>4869</v>
      </c>
      <c r="D1623" s="5" t="s">
        <v>8</v>
      </c>
      <c r="E1623" s="6">
        <f>VALUE(7995)</f>
        <v>7995</v>
      </c>
      <c r="F1623" s="5" t="s">
        <v>10</v>
      </c>
    </row>
    <row r="1624" spans="1:6" ht="29">
      <c r="A1624" s="1" t="s">
        <v>4870</v>
      </c>
      <c r="B1624" s="4" t="s">
        <v>4871</v>
      </c>
      <c r="C1624" s="3" t="s">
        <v>4872</v>
      </c>
      <c r="D1624" s="5" t="s">
        <v>8</v>
      </c>
      <c r="E1624" s="6">
        <f>VALUE(3995)</f>
        <v>3995</v>
      </c>
      <c r="F1624" s="5" t="s">
        <v>10</v>
      </c>
    </row>
    <row r="1625" spans="1:6">
      <c r="A1625" s="1" t="s">
        <v>4873</v>
      </c>
      <c r="B1625" s="4" t="s">
        <v>4874</v>
      </c>
      <c r="C1625" s="3" t="s">
        <v>4875</v>
      </c>
      <c r="D1625" s="5" t="s">
        <v>8</v>
      </c>
      <c r="E1625" s="6">
        <f>VALUE(14995)</f>
        <v>14995</v>
      </c>
      <c r="F1625" s="5" t="s">
        <v>10</v>
      </c>
    </row>
    <row r="1626" spans="1:6">
      <c r="A1626" s="1" t="s">
        <v>4876</v>
      </c>
      <c r="B1626" s="4" t="s">
        <v>4877</v>
      </c>
      <c r="C1626" s="3" t="s">
        <v>4878</v>
      </c>
      <c r="D1626" s="5" t="s">
        <v>8</v>
      </c>
      <c r="E1626" s="6">
        <f>VALUE(24995)</f>
        <v>24995</v>
      </c>
      <c r="F1626" s="5" t="s">
        <v>10</v>
      </c>
    </row>
    <row r="1627" spans="1:6" ht="29">
      <c r="A1627" s="1" t="s">
        <v>4879</v>
      </c>
      <c r="B1627" s="4" t="s">
        <v>4880</v>
      </c>
      <c r="C1627" s="3" t="s">
        <v>4881</v>
      </c>
      <c r="D1627" s="5" t="s">
        <v>8</v>
      </c>
      <c r="E1627" s="6">
        <f>VALUE(9995)</f>
        <v>9995</v>
      </c>
      <c r="F1627" s="5" t="s">
        <v>10</v>
      </c>
    </row>
    <row r="1628" spans="1:6">
      <c r="A1628" s="1" t="s">
        <v>4882</v>
      </c>
      <c r="B1628" s="4" t="s">
        <v>4883</v>
      </c>
      <c r="C1628" s="3" t="s">
        <v>4884</v>
      </c>
      <c r="D1628" s="5" t="s">
        <v>8</v>
      </c>
      <c r="E1628" s="6">
        <f>VALUE(9995)</f>
        <v>9995</v>
      </c>
      <c r="F1628" s="5" t="s">
        <v>10</v>
      </c>
    </row>
    <row r="1629" spans="1:6" ht="43.5">
      <c r="A1629" s="1" t="s">
        <v>4885</v>
      </c>
      <c r="B1629" s="4" t="s">
        <v>4886</v>
      </c>
      <c r="C1629" s="3" t="s">
        <v>4887</v>
      </c>
      <c r="D1629" s="5" t="s">
        <v>8</v>
      </c>
      <c r="E1629" s="6">
        <f>VALUE(34995)</f>
        <v>34995</v>
      </c>
      <c r="F1629" s="5" t="s">
        <v>10</v>
      </c>
    </row>
    <row r="1630" spans="1:6" ht="58">
      <c r="A1630" s="1" t="s">
        <v>4888</v>
      </c>
      <c r="B1630" s="4" t="s">
        <v>4889</v>
      </c>
      <c r="C1630" s="3" t="s">
        <v>4890</v>
      </c>
      <c r="D1630" s="5" t="s">
        <v>8</v>
      </c>
      <c r="E1630" s="6">
        <f>VALUE(24995)</f>
        <v>24995</v>
      </c>
      <c r="F1630" s="5" t="s">
        <v>10</v>
      </c>
    </row>
    <row r="1631" spans="1:6" ht="29">
      <c r="A1631" s="1" t="s">
        <v>4891</v>
      </c>
      <c r="B1631" s="4" t="s">
        <v>4892</v>
      </c>
      <c r="C1631" s="3" t="s">
        <v>4893</v>
      </c>
      <c r="D1631" s="5" t="s">
        <v>8</v>
      </c>
      <c r="E1631" s="6">
        <f>VALUE(8495)</f>
        <v>8495</v>
      </c>
      <c r="F1631" s="5" t="s">
        <v>10</v>
      </c>
    </row>
    <row r="1632" spans="1:6" ht="43.5">
      <c r="A1632" s="1" t="s">
        <v>4894</v>
      </c>
      <c r="B1632" s="4" t="s">
        <v>4895</v>
      </c>
      <c r="C1632" s="3" t="s">
        <v>4896</v>
      </c>
      <c r="D1632" s="5" t="s">
        <v>8</v>
      </c>
      <c r="E1632" s="6">
        <f>VALUE(10400)</f>
        <v>10400</v>
      </c>
      <c r="F1632" s="5" t="s">
        <v>10</v>
      </c>
    </row>
    <row r="1633" spans="1:6" ht="43.5">
      <c r="A1633" s="1" t="s">
        <v>4897</v>
      </c>
      <c r="B1633" s="4" t="s">
        <v>4898</v>
      </c>
      <c r="C1633" s="3" t="s">
        <v>4899</v>
      </c>
      <c r="D1633" s="5" t="s">
        <v>8</v>
      </c>
      <c r="E1633" s="6">
        <f>VALUE(20800)</f>
        <v>20800</v>
      </c>
      <c r="F1633" s="5" t="s">
        <v>10</v>
      </c>
    </row>
    <row r="1634" spans="1:6" ht="29">
      <c r="A1634" s="1" t="s">
        <v>4900</v>
      </c>
      <c r="B1634" s="4" t="s">
        <v>4901</v>
      </c>
      <c r="C1634" s="3" t="s">
        <v>4902</v>
      </c>
      <c r="D1634" s="5" t="s">
        <v>8</v>
      </c>
      <c r="E1634" s="6">
        <f>VALUE(32995)</f>
        <v>32995</v>
      </c>
      <c r="F1634" s="5" t="s">
        <v>10</v>
      </c>
    </row>
    <row r="1635" spans="1:6" ht="43.5">
      <c r="A1635" s="1" t="s">
        <v>4903</v>
      </c>
      <c r="B1635" s="4" t="s">
        <v>4904</v>
      </c>
      <c r="C1635" s="3" t="s">
        <v>4905</v>
      </c>
      <c r="D1635" s="5" t="s">
        <v>8</v>
      </c>
      <c r="E1635" s="6">
        <f>VALUE(62400)</f>
        <v>62400</v>
      </c>
      <c r="F1635" s="5" t="s">
        <v>10</v>
      </c>
    </row>
    <row r="1636" spans="1:6" ht="29">
      <c r="A1636" s="1" t="s">
        <v>4906</v>
      </c>
      <c r="B1636" s="4" t="s">
        <v>4907</v>
      </c>
      <c r="C1636" s="3" t="s">
        <v>4908</v>
      </c>
      <c r="D1636" s="5" t="s">
        <v>8</v>
      </c>
      <c r="E1636" s="6">
        <f>VALUE(200000)</f>
        <v>200000</v>
      </c>
      <c r="F1636" s="5" t="s">
        <v>10</v>
      </c>
    </row>
    <row r="1637" spans="1:6" ht="29">
      <c r="A1637" s="1" t="s">
        <v>4909</v>
      </c>
      <c r="B1637" s="4" t="s">
        <v>4910</v>
      </c>
      <c r="C1637" s="3" t="s">
        <v>4911</v>
      </c>
      <c r="D1637" s="5" t="s">
        <v>8</v>
      </c>
      <c r="E1637" s="6">
        <f>VALUE(1400)</f>
        <v>1400</v>
      </c>
      <c r="F1637" s="5" t="s">
        <v>10</v>
      </c>
    </row>
    <row r="1638" spans="1:6">
      <c r="A1638" s="1" t="s">
        <v>4912</v>
      </c>
      <c r="B1638" s="4" t="s">
        <v>4913</v>
      </c>
      <c r="C1638" s="3" t="s">
        <v>4914</v>
      </c>
      <c r="D1638" s="5" t="s">
        <v>8</v>
      </c>
      <c r="E1638" s="6">
        <f>VALUE(85)</f>
        <v>85</v>
      </c>
      <c r="F1638" s="5" t="s">
        <v>10</v>
      </c>
    </row>
    <row r="1639" spans="1:6" ht="29">
      <c r="A1639" s="1" t="s">
        <v>4915</v>
      </c>
      <c r="B1639" s="4" t="s">
        <v>4916</v>
      </c>
      <c r="C1639" s="3" t="s">
        <v>4917</v>
      </c>
      <c r="D1639" s="5" t="s">
        <v>8</v>
      </c>
      <c r="E1639" s="6">
        <f>VALUE(19495)</f>
        <v>19495</v>
      </c>
      <c r="F1639" s="5" t="s">
        <v>10</v>
      </c>
    </row>
    <row r="1640" spans="1:6">
      <c r="A1640" s="1" t="s">
        <v>4918</v>
      </c>
      <c r="B1640" s="4" t="s">
        <v>4919</v>
      </c>
      <c r="C1640" s="3" t="s">
        <v>4920</v>
      </c>
      <c r="D1640" s="5" t="s">
        <v>8</v>
      </c>
      <c r="E1640" s="6">
        <f>VALUE(22600)</f>
        <v>22600</v>
      </c>
      <c r="F1640" s="5" t="s">
        <v>10</v>
      </c>
    </row>
    <row r="1641" spans="1:6" ht="29">
      <c r="A1641" s="1" t="s">
        <v>4921</v>
      </c>
      <c r="B1641" s="4" t="s">
        <v>4922</v>
      </c>
      <c r="C1641" s="3" t="s">
        <v>4923</v>
      </c>
      <c r="D1641" s="5" t="s">
        <v>8</v>
      </c>
      <c r="E1641" s="6">
        <f>VALUE(24965)</f>
        <v>24965</v>
      </c>
      <c r="F1641" s="5" t="s">
        <v>10</v>
      </c>
    </row>
    <row r="1642" spans="1:6" ht="29">
      <c r="A1642" s="1" t="s">
        <v>4924</v>
      </c>
      <c r="B1642" s="4" t="s">
        <v>4925</v>
      </c>
      <c r="C1642" s="3" t="s">
        <v>4926</v>
      </c>
      <c r="D1642" s="5" t="s">
        <v>8</v>
      </c>
      <c r="E1642" s="6">
        <f>VALUE(29600)</f>
        <v>29600</v>
      </c>
      <c r="F1642" s="5" t="s">
        <v>10</v>
      </c>
    </row>
    <row r="1643" spans="1:6" ht="29">
      <c r="A1643" s="1" t="s">
        <v>4927</v>
      </c>
      <c r="B1643" s="4" t="s">
        <v>4928</v>
      </c>
      <c r="C1643" s="3" t="s">
        <v>4929</v>
      </c>
      <c r="D1643" s="5" t="s">
        <v>8</v>
      </c>
      <c r="E1643" s="6">
        <f>VALUE(35635)</f>
        <v>35635</v>
      </c>
      <c r="F1643" s="5" t="s">
        <v>10</v>
      </c>
    </row>
    <row r="1644" spans="1:6" ht="29">
      <c r="A1644" s="1" t="s">
        <v>4930</v>
      </c>
      <c r="B1644" s="4" t="s">
        <v>4931</v>
      </c>
      <c r="C1644" s="3" t="s">
        <v>4932</v>
      </c>
      <c r="D1644" s="5" t="s">
        <v>8</v>
      </c>
      <c r="E1644" s="6">
        <f>VALUE(38015)</f>
        <v>38015</v>
      </c>
      <c r="F1644" s="5" t="s">
        <v>10</v>
      </c>
    </row>
    <row r="1645" spans="1:6" ht="29">
      <c r="A1645" s="1" t="s">
        <v>4933</v>
      </c>
      <c r="B1645" s="4" t="s">
        <v>4934</v>
      </c>
      <c r="C1645" s="3" t="s">
        <v>4935</v>
      </c>
      <c r="D1645" s="5" t="s">
        <v>8</v>
      </c>
      <c r="E1645" s="6">
        <f>VALUE(41575)</f>
        <v>41575</v>
      </c>
      <c r="F1645" s="5" t="s">
        <v>10</v>
      </c>
    </row>
    <row r="1646" spans="1:6">
      <c r="A1646" s="1" t="s">
        <v>4936</v>
      </c>
      <c r="B1646" s="4" t="s">
        <v>4937</v>
      </c>
      <c r="C1646" s="3" t="s">
        <v>4938</v>
      </c>
      <c r="D1646" s="5" t="s">
        <v>8</v>
      </c>
      <c r="E1646" s="6">
        <f>VALUE(425)</f>
        <v>425</v>
      </c>
      <c r="F1646" s="5" t="s">
        <v>10</v>
      </c>
    </row>
    <row r="1647" spans="1:6">
      <c r="A1647" s="1" t="s">
        <v>4939</v>
      </c>
      <c r="B1647" s="4" t="s">
        <v>4940</v>
      </c>
      <c r="C1647" s="3" t="s">
        <v>4941</v>
      </c>
      <c r="D1647" s="5" t="s">
        <v>8</v>
      </c>
      <c r="E1647" s="6">
        <f>VALUE(495)</f>
        <v>495</v>
      </c>
      <c r="F1647" s="5" t="s">
        <v>10</v>
      </c>
    </row>
    <row r="1648" spans="1:6">
      <c r="A1648" s="1" t="s">
        <v>4942</v>
      </c>
      <c r="B1648" s="4" t="s">
        <v>4943</v>
      </c>
      <c r="C1648" s="3" t="s">
        <v>4942</v>
      </c>
      <c r="D1648" s="5" t="s">
        <v>8</v>
      </c>
      <c r="E1648" s="6">
        <f>VALUE(545)</f>
        <v>545</v>
      </c>
      <c r="F1648" s="5" t="s">
        <v>10</v>
      </c>
    </row>
    <row r="1649" spans="1:6" ht="29">
      <c r="A1649" s="1" t="s">
        <v>4944</v>
      </c>
      <c r="B1649" s="4" t="s">
        <v>4945</v>
      </c>
      <c r="C1649" s="3" t="s">
        <v>4946</v>
      </c>
      <c r="D1649" s="5" t="s">
        <v>8</v>
      </c>
      <c r="E1649" s="6">
        <f>VALUE(595)</f>
        <v>595</v>
      </c>
      <c r="F1649" s="5" t="s">
        <v>10</v>
      </c>
    </row>
    <row r="1650" spans="1:6">
      <c r="A1650" s="1" t="s">
        <v>4947</v>
      </c>
      <c r="B1650" s="4" t="s">
        <v>4948</v>
      </c>
      <c r="C1650" s="3" t="s">
        <v>4947</v>
      </c>
      <c r="D1650" s="5" t="s">
        <v>8</v>
      </c>
      <c r="E1650" s="6">
        <f>VALUE(595)</f>
        <v>595</v>
      </c>
      <c r="F1650" s="5" t="s">
        <v>10</v>
      </c>
    </row>
    <row r="1651" spans="1:6">
      <c r="A1651" s="1" t="s">
        <v>4949</v>
      </c>
      <c r="B1651" s="4" t="s">
        <v>4950</v>
      </c>
      <c r="C1651" s="3" t="s">
        <v>4951</v>
      </c>
      <c r="D1651" s="5" t="s">
        <v>8</v>
      </c>
      <c r="E1651" s="6">
        <f>VALUE(1345)</f>
        <v>1345</v>
      </c>
      <c r="F1651" s="5" t="s">
        <v>10</v>
      </c>
    </row>
    <row r="1652" spans="1:6">
      <c r="A1652" s="1" t="s">
        <v>4952</v>
      </c>
      <c r="B1652" s="4" t="s">
        <v>4953</v>
      </c>
      <c r="C1652" s="3" t="s">
        <v>4954</v>
      </c>
      <c r="D1652" s="5" t="s">
        <v>8</v>
      </c>
      <c r="E1652" s="6">
        <f>VALUE(1395)</f>
        <v>1395</v>
      </c>
      <c r="F1652" s="5" t="s">
        <v>10</v>
      </c>
    </row>
    <row r="1653" spans="1:6">
      <c r="A1653" s="1" t="s">
        <v>4955</v>
      </c>
      <c r="B1653" s="4" t="s">
        <v>4956</v>
      </c>
      <c r="C1653" s="3" t="s">
        <v>4957</v>
      </c>
      <c r="D1653" s="5" t="s">
        <v>8</v>
      </c>
      <c r="E1653" s="6">
        <f>VALUE(1995)</f>
        <v>1995</v>
      </c>
      <c r="F1653" s="5" t="s">
        <v>10</v>
      </c>
    </row>
    <row r="1654" spans="1:6">
      <c r="A1654" s="1" t="s">
        <v>4958</v>
      </c>
      <c r="B1654" s="4" t="s">
        <v>4959</v>
      </c>
      <c r="C1654" s="3" t="s">
        <v>4960</v>
      </c>
      <c r="D1654" s="5" t="s">
        <v>8</v>
      </c>
      <c r="E1654" s="6">
        <f>VALUE(38495)</f>
        <v>38495</v>
      </c>
      <c r="F1654" s="5" t="s">
        <v>10</v>
      </c>
    </row>
    <row r="1655" spans="1:6">
      <c r="A1655" s="1" t="s">
        <v>4961</v>
      </c>
      <c r="B1655" s="4" t="s">
        <v>4962</v>
      </c>
      <c r="C1655" s="3" t="s">
        <v>4963</v>
      </c>
      <c r="D1655" s="5" t="s">
        <v>8</v>
      </c>
      <c r="E1655" s="6">
        <f>VALUE(89495)</f>
        <v>89495</v>
      </c>
      <c r="F1655" s="5" t="s">
        <v>10</v>
      </c>
    </row>
    <row r="1656" spans="1:6">
      <c r="A1656" s="1" t="s">
        <v>4964</v>
      </c>
      <c r="B1656" s="4" t="s">
        <v>4965</v>
      </c>
      <c r="C1656" s="3" t="s">
        <v>4966</v>
      </c>
      <c r="D1656" s="5" t="s">
        <v>8</v>
      </c>
      <c r="E1656" s="6">
        <f>VALUE(12000)</f>
        <v>12000</v>
      </c>
      <c r="F1656" s="5" t="s">
        <v>10</v>
      </c>
    </row>
    <row r="1657" spans="1:6">
      <c r="A1657" s="1" t="s">
        <v>4967</v>
      </c>
      <c r="B1657" s="4" t="s">
        <v>4968</v>
      </c>
      <c r="C1657" s="3" t="s">
        <v>4969</v>
      </c>
      <c r="D1657" s="5" t="s">
        <v>8</v>
      </c>
      <c r="E1657" s="6">
        <f>VALUE(24000)</f>
        <v>24000</v>
      </c>
      <c r="F1657" s="5" t="s">
        <v>10</v>
      </c>
    </row>
    <row r="1658" spans="1:6">
      <c r="A1658" s="1" t="s">
        <v>4970</v>
      </c>
      <c r="B1658" s="4" t="s">
        <v>4971</v>
      </c>
      <c r="C1658" s="3" t="s">
        <v>4972</v>
      </c>
      <c r="D1658" s="5" t="s">
        <v>8</v>
      </c>
      <c r="E1658" s="6">
        <f>VALUE(14750)</f>
        <v>14750</v>
      </c>
      <c r="F1658" s="5" t="s">
        <v>10</v>
      </c>
    </row>
    <row r="1659" spans="1:6">
      <c r="A1659" s="1" t="s">
        <v>4973</v>
      </c>
      <c r="B1659" s="4" t="s">
        <v>4974</v>
      </c>
      <c r="C1659" s="3" t="s">
        <v>4975</v>
      </c>
      <c r="D1659" s="5" t="s">
        <v>8</v>
      </c>
      <c r="E1659" s="6">
        <f>VALUE(15750)</f>
        <v>15750</v>
      </c>
      <c r="F1659" s="5" t="s">
        <v>10</v>
      </c>
    </row>
    <row r="1660" spans="1:6" ht="29">
      <c r="A1660" s="1" t="s">
        <v>4976</v>
      </c>
      <c r="B1660" s="4" t="s">
        <v>4977</v>
      </c>
      <c r="C1660" s="3" t="s">
        <v>4978</v>
      </c>
      <c r="D1660" s="5" t="s">
        <v>8</v>
      </c>
      <c r="E1660" s="6">
        <f>VALUE(9715)</f>
        <v>9715</v>
      </c>
      <c r="F1660" s="5" t="s">
        <v>10</v>
      </c>
    </row>
    <row r="1661" spans="1:6" ht="29">
      <c r="A1661" s="1" t="s">
        <v>4979</v>
      </c>
      <c r="B1661" s="4" t="s">
        <v>4980</v>
      </c>
      <c r="C1661" s="3" t="s">
        <v>4981</v>
      </c>
      <c r="D1661" s="5" t="s">
        <v>8</v>
      </c>
      <c r="E1661" s="6">
        <f>VALUE(15000)</f>
        <v>15000</v>
      </c>
      <c r="F1661" s="5" t="s">
        <v>10</v>
      </c>
    </row>
    <row r="1662" spans="1:6" ht="29">
      <c r="A1662" s="1" t="s">
        <v>4982</v>
      </c>
      <c r="B1662" s="4" t="s">
        <v>4983</v>
      </c>
      <c r="C1662" s="3" t="s">
        <v>4984</v>
      </c>
      <c r="D1662" s="5" t="s">
        <v>8</v>
      </c>
      <c r="E1662" s="6">
        <f>VALUE(20000)</f>
        <v>20000</v>
      </c>
      <c r="F1662" s="5" t="s">
        <v>10</v>
      </c>
    </row>
    <row r="1663" spans="1:6" ht="29">
      <c r="A1663" s="1" t="s">
        <v>4985</v>
      </c>
      <c r="B1663" s="4" t="s">
        <v>4986</v>
      </c>
      <c r="C1663" s="3" t="s">
        <v>4987</v>
      </c>
      <c r="D1663" s="5" t="s">
        <v>8</v>
      </c>
      <c r="E1663" s="6">
        <f>VALUE(2995)</f>
        <v>2995</v>
      </c>
      <c r="F1663" s="5" t="s">
        <v>10</v>
      </c>
    </row>
    <row r="1664" spans="1:6">
      <c r="A1664" s="1" t="s">
        <v>4988</v>
      </c>
      <c r="B1664" s="4" t="s">
        <v>4989</v>
      </c>
      <c r="C1664" s="3" t="s">
        <v>4990</v>
      </c>
      <c r="D1664" s="5" t="s">
        <v>8</v>
      </c>
      <c r="E1664" s="6">
        <f>VALUE(36000)</f>
        <v>36000</v>
      </c>
      <c r="F1664" s="5" t="s">
        <v>10</v>
      </c>
    </row>
    <row r="1665" spans="1:6">
      <c r="A1665" s="1" t="s">
        <v>4991</v>
      </c>
      <c r="B1665" s="4" t="s">
        <v>4992</v>
      </c>
      <c r="C1665" s="3" t="s">
        <v>4993</v>
      </c>
      <c r="D1665" s="5" t="s">
        <v>8</v>
      </c>
      <c r="E1665" s="6">
        <f>VALUE(36000)</f>
        <v>36000</v>
      </c>
      <c r="F1665" s="5" t="s">
        <v>10</v>
      </c>
    </row>
    <row r="1666" spans="1:6" ht="29">
      <c r="A1666" s="1" t="s">
        <v>4994</v>
      </c>
      <c r="B1666" s="4" t="s">
        <v>4995</v>
      </c>
      <c r="C1666" s="3" t="s">
        <v>4996</v>
      </c>
      <c r="D1666" s="5" t="s">
        <v>8</v>
      </c>
      <c r="E1666" s="6">
        <f>VALUE(270)</f>
        <v>270</v>
      </c>
      <c r="F1666" s="5" t="s">
        <v>10</v>
      </c>
    </row>
    <row r="1667" spans="1:6">
      <c r="A1667" s="1" t="s">
        <v>4997</v>
      </c>
      <c r="B1667" s="4" t="s">
        <v>4998</v>
      </c>
      <c r="C1667" s="3" t="s">
        <v>4999</v>
      </c>
      <c r="D1667" s="5" t="s">
        <v>8</v>
      </c>
      <c r="E1667" s="6">
        <f>VALUE(549)</f>
        <v>549</v>
      </c>
      <c r="F1667" s="5" t="s">
        <v>10</v>
      </c>
    </row>
    <row r="1668" spans="1:6">
      <c r="A1668" s="1" t="s">
        <v>5000</v>
      </c>
      <c r="B1668" s="4" t="s">
        <v>5001</v>
      </c>
      <c r="C1668" s="3" t="s">
        <v>5002</v>
      </c>
      <c r="D1668" s="5" t="s">
        <v>8</v>
      </c>
      <c r="E1668" s="6">
        <f>VALUE(2145)</f>
        <v>2145</v>
      </c>
      <c r="F1668" s="5" t="s">
        <v>10</v>
      </c>
    </row>
    <row r="1669" spans="1:6">
      <c r="A1669" s="1" t="s">
        <v>5003</v>
      </c>
      <c r="B1669" s="4" t="s">
        <v>5004</v>
      </c>
      <c r="C1669" s="3" t="s">
        <v>5005</v>
      </c>
      <c r="D1669" s="5" t="s">
        <v>8</v>
      </c>
      <c r="E1669" s="6">
        <f>VALUE(1295)</f>
        <v>1295</v>
      </c>
      <c r="F1669" s="5" t="s">
        <v>10</v>
      </c>
    </row>
    <row r="1670" spans="1:6">
      <c r="A1670" s="1" t="s">
        <v>5006</v>
      </c>
      <c r="B1670" s="4" t="s">
        <v>5007</v>
      </c>
      <c r="C1670" s="3" t="s">
        <v>5008</v>
      </c>
      <c r="D1670" s="5" t="s">
        <v>8</v>
      </c>
      <c r="E1670" s="6">
        <f>VALUE(1595)</f>
        <v>1595</v>
      </c>
      <c r="F1670" s="5" t="s">
        <v>10</v>
      </c>
    </row>
    <row r="1671" spans="1:6">
      <c r="A1671" s="1" t="s">
        <v>5009</v>
      </c>
      <c r="B1671" s="4" t="s">
        <v>5010</v>
      </c>
      <c r="C1671" s="3" t="s">
        <v>5011</v>
      </c>
      <c r="D1671" s="5" t="s">
        <v>8</v>
      </c>
      <c r="E1671" s="6">
        <f>VALUE(1795)</f>
        <v>1795</v>
      </c>
      <c r="F1671" s="5" t="s">
        <v>10</v>
      </c>
    </row>
    <row r="1672" spans="1:6">
      <c r="A1672" s="1" t="s">
        <v>5012</v>
      </c>
      <c r="B1672" s="4" t="s">
        <v>5013</v>
      </c>
      <c r="C1672" s="3" t="s">
        <v>5014</v>
      </c>
      <c r="D1672" s="5" t="s">
        <v>8</v>
      </c>
      <c r="E1672" s="6">
        <f>VALUE(149)</f>
        <v>149</v>
      </c>
      <c r="F1672" s="5" t="s">
        <v>10</v>
      </c>
    </row>
    <row r="1673" spans="1:6">
      <c r="A1673" s="1" t="s">
        <v>5015</v>
      </c>
      <c r="B1673" s="4" t="s">
        <v>5016</v>
      </c>
      <c r="C1673" s="3" t="s">
        <v>5017</v>
      </c>
      <c r="D1673" s="5" t="s">
        <v>8</v>
      </c>
      <c r="E1673" s="6">
        <f>VALUE(245)</f>
        <v>245</v>
      </c>
      <c r="F1673" s="5" t="s">
        <v>10</v>
      </c>
    </row>
    <row r="1674" spans="1:6" ht="29">
      <c r="A1674" s="1" t="s">
        <v>5018</v>
      </c>
      <c r="B1674" s="4" t="s">
        <v>5019</v>
      </c>
      <c r="C1674" s="3" t="s">
        <v>5020</v>
      </c>
      <c r="D1674" s="5" t="s">
        <v>8</v>
      </c>
      <c r="E1674" s="6">
        <f>VALUE(25)</f>
        <v>25</v>
      </c>
      <c r="F1674" s="5" t="s">
        <v>10</v>
      </c>
    </row>
    <row r="1675" spans="1:6" ht="29">
      <c r="A1675" s="1" t="s">
        <v>5021</v>
      </c>
      <c r="B1675" s="4" t="s">
        <v>5022</v>
      </c>
      <c r="C1675" s="3" t="s">
        <v>5023</v>
      </c>
      <c r="D1675" s="5" t="s">
        <v>8</v>
      </c>
      <c r="E1675" s="6">
        <f>VALUE(25)</f>
        <v>25</v>
      </c>
      <c r="F1675" s="5" t="s">
        <v>10</v>
      </c>
    </row>
    <row r="1676" spans="1:6" ht="29">
      <c r="A1676" s="1" t="s">
        <v>5024</v>
      </c>
      <c r="B1676" s="4" t="s">
        <v>5025</v>
      </c>
      <c r="C1676" s="3" t="s">
        <v>5026</v>
      </c>
      <c r="D1676" s="5" t="s">
        <v>8</v>
      </c>
      <c r="E1676" s="6">
        <f>VALUE(25)</f>
        <v>25</v>
      </c>
      <c r="F1676" s="5" t="s">
        <v>10</v>
      </c>
    </row>
    <row r="1677" spans="1:6" ht="29">
      <c r="A1677" s="1" t="s">
        <v>5027</v>
      </c>
      <c r="B1677" s="4" t="s">
        <v>5028</v>
      </c>
      <c r="C1677" s="3" t="s">
        <v>5029</v>
      </c>
      <c r="D1677" s="5" t="s">
        <v>8</v>
      </c>
      <c r="E1677" s="6">
        <f>VALUE(25)</f>
        <v>25</v>
      </c>
      <c r="F1677" s="5" t="s">
        <v>10</v>
      </c>
    </row>
    <row r="1678" spans="1:6" ht="29">
      <c r="A1678" s="1" t="s">
        <v>5030</v>
      </c>
      <c r="B1678" s="4" t="s">
        <v>5031</v>
      </c>
      <c r="C1678" s="3" t="s">
        <v>5032</v>
      </c>
      <c r="D1678" s="5" t="s">
        <v>8</v>
      </c>
      <c r="E1678" s="6">
        <f>VALUE(25)</f>
        <v>25</v>
      </c>
      <c r="F1678" s="5" t="s">
        <v>10</v>
      </c>
    </row>
    <row r="1679" spans="1:6" ht="29">
      <c r="A1679" s="1" t="s">
        <v>5033</v>
      </c>
      <c r="B1679" s="4" t="s">
        <v>5034</v>
      </c>
      <c r="C1679" s="3" t="s">
        <v>5035</v>
      </c>
      <c r="D1679" s="5" t="s">
        <v>8</v>
      </c>
      <c r="E1679" s="6">
        <f>VALUE(2995)</f>
        <v>2995</v>
      </c>
      <c r="F1679" s="5" t="s">
        <v>10</v>
      </c>
    </row>
    <row r="1680" spans="1:6" ht="29">
      <c r="A1680" s="1" t="s">
        <v>5036</v>
      </c>
      <c r="B1680" s="4" t="s">
        <v>5037</v>
      </c>
      <c r="C1680" s="3" t="s">
        <v>5038</v>
      </c>
      <c r="D1680" s="5" t="s">
        <v>8</v>
      </c>
      <c r="E1680" s="6">
        <f>VALUE(2995)</f>
        <v>2995</v>
      </c>
      <c r="F1680" s="5" t="s">
        <v>10</v>
      </c>
    </row>
    <row r="1681" spans="1:6" ht="29">
      <c r="A1681" s="1" t="s">
        <v>5039</v>
      </c>
      <c r="B1681" s="4" t="s">
        <v>5040</v>
      </c>
      <c r="C1681" s="3" t="s">
        <v>5041</v>
      </c>
      <c r="D1681" s="5" t="s">
        <v>8</v>
      </c>
      <c r="E1681" s="6">
        <f>VALUE(13995)</f>
        <v>13995</v>
      </c>
      <c r="F1681" s="5" t="s">
        <v>10</v>
      </c>
    </row>
    <row r="1682" spans="1:6">
      <c r="A1682" s="1" t="s">
        <v>5042</v>
      </c>
      <c r="B1682" s="4" t="s">
        <v>5043</v>
      </c>
      <c r="C1682" s="3" t="s">
        <v>5044</v>
      </c>
      <c r="D1682" s="5" t="s">
        <v>8</v>
      </c>
      <c r="E1682" s="6">
        <f>VALUE(445)</f>
        <v>445</v>
      </c>
      <c r="F1682" s="5" t="s">
        <v>10</v>
      </c>
    </row>
    <row r="1683" spans="1:6" ht="43.5">
      <c r="A1683" s="1" t="s">
        <v>5045</v>
      </c>
      <c r="B1683" s="4" t="s">
        <v>5046</v>
      </c>
      <c r="C1683" s="3" t="s">
        <v>5047</v>
      </c>
      <c r="D1683" s="5" t="s">
        <v>8</v>
      </c>
      <c r="E1683" s="6">
        <f>VALUE(49995)</f>
        <v>49995</v>
      </c>
      <c r="F1683" s="5" t="s">
        <v>10</v>
      </c>
    </row>
    <row r="1684" spans="1:6">
      <c r="A1684" s="1" t="s">
        <v>5048</v>
      </c>
      <c r="B1684" s="4" t="s">
        <v>5049</v>
      </c>
      <c r="C1684" s="3" t="s">
        <v>5050</v>
      </c>
      <c r="D1684" s="5" t="s">
        <v>8</v>
      </c>
      <c r="E1684" s="6">
        <f>VALUE(5200)</f>
        <v>5200</v>
      </c>
      <c r="F1684" s="5" t="s">
        <v>10</v>
      </c>
    </row>
    <row r="1685" spans="1:6">
      <c r="A1685" s="1" t="s">
        <v>5051</v>
      </c>
      <c r="B1685" s="4" t="s">
        <v>5052</v>
      </c>
      <c r="C1685" s="3" t="s">
        <v>5053</v>
      </c>
      <c r="D1685" s="5" t="s">
        <v>8</v>
      </c>
      <c r="E1685" s="6">
        <f>VALUE(20800)</f>
        <v>20800</v>
      </c>
      <c r="F1685" s="5" t="s">
        <v>10</v>
      </c>
    </row>
    <row r="1686" spans="1:6" ht="29">
      <c r="A1686" s="1" t="s">
        <v>5054</v>
      </c>
      <c r="B1686" s="4" t="s">
        <v>5055</v>
      </c>
      <c r="C1686" s="3" t="s">
        <v>5056</v>
      </c>
      <c r="D1686" s="5" t="s">
        <v>8</v>
      </c>
      <c r="E1686" s="6">
        <f>VALUE(31200)</f>
        <v>31200</v>
      </c>
      <c r="F1686" s="5" t="s">
        <v>10</v>
      </c>
    </row>
    <row r="1687" spans="1:6" ht="29">
      <c r="A1687" s="1" t="s">
        <v>5057</v>
      </c>
      <c r="B1687" s="4" t="s">
        <v>5058</v>
      </c>
      <c r="C1687" s="3" t="s">
        <v>5059</v>
      </c>
      <c r="D1687" s="5" t="s">
        <v>8</v>
      </c>
      <c r="E1687" s="6">
        <f>VALUE(62400)</f>
        <v>62400</v>
      </c>
      <c r="F1687" s="5" t="s">
        <v>10</v>
      </c>
    </row>
    <row r="1688" spans="1:6" ht="29">
      <c r="A1688" s="1" t="s">
        <v>5060</v>
      </c>
      <c r="B1688" s="4" t="s">
        <v>5061</v>
      </c>
      <c r="C1688" s="3" t="s">
        <v>5062</v>
      </c>
      <c r="D1688" s="5" t="s">
        <v>8</v>
      </c>
      <c r="E1688" s="6">
        <f>VALUE(1495)</f>
        <v>1495</v>
      </c>
      <c r="F1688" s="5" t="s">
        <v>10</v>
      </c>
    </row>
    <row r="1689" spans="1:6" ht="43.5">
      <c r="A1689" s="1" t="s">
        <v>5063</v>
      </c>
      <c r="B1689" s="4" t="s">
        <v>5064</v>
      </c>
      <c r="C1689" s="3" t="s">
        <v>5065</v>
      </c>
      <c r="D1689" s="5" t="s">
        <v>8</v>
      </c>
      <c r="E1689" s="6">
        <f>VALUE(16995)</f>
        <v>16995</v>
      </c>
      <c r="F1689" s="5" t="s">
        <v>10</v>
      </c>
    </row>
    <row r="1690" spans="1:6" ht="29">
      <c r="A1690" s="1" t="s">
        <v>5066</v>
      </c>
      <c r="B1690" s="4" t="s">
        <v>5067</v>
      </c>
      <c r="C1690" s="3" t="s">
        <v>5068</v>
      </c>
      <c r="D1690" s="5" t="s">
        <v>8</v>
      </c>
      <c r="E1690" s="6">
        <f>VALUE(14995)</f>
        <v>14995</v>
      </c>
      <c r="F1690" s="5" t="s">
        <v>10</v>
      </c>
    </row>
    <row r="1691" spans="1:6" ht="29">
      <c r="A1691" s="1" t="s">
        <v>5069</v>
      </c>
      <c r="B1691" s="4" t="s">
        <v>5070</v>
      </c>
      <c r="C1691" s="3" t="s">
        <v>5071</v>
      </c>
      <c r="D1691" s="5" t="s">
        <v>8</v>
      </c>
      <c r="E1691" s="6">
        <f>VALUE(17995)</f>
        <v>17995</v>
      </c>
      <c r="F1691" s="5" t="s">
        <v>10</v>
      </c>
    </row>
    <row r="1692" spans="1:6" ht="29">
      <c r="A1692" s="1" t="s">
        <v>5072</v>
      </c>
      <c r="B1692" s="4" t="s">
        <v>5073</v>
      </c>
      <c r="C1692" s="3" t="s">
        <v>5074</v>
      </c>
      <c r="D1692" s="5" t="s">
        <v>8</v>
      </c>
      <c r="E1692" s="6">
        <f>VALUE(12995)</f>
        <v>12995</v>
      </c>
      <c r="F1692" s="5" t="s">
        <v>10</v>
      </c>
    </row>
    <row r="1693" spans="1:6" ht="29">
      <c r="A1693" s="1" t="s">
        <v>5075</v>
      </c>
      <c r="B1693" s="4" t="s">
        <v>5076</v>
      </c>
      <c r="C1693" s="3" t="s">
        <v>5077</v>
      </c>
      <c r="D1693" s="5" t="s">
        <v>8</v>
      </c>
      <c r="E1693" s="6">
        <f>VALUE(15995)</f>
        <v>15995</v>
      </c>
      <c r="F1693" s="5" t="s">
        <v>10</v>
      </c>
    </row>
    <row r="1694" spans="1:6" ht="29">
      <c r="A1694" s="1" t="s">
        <v>5078</v>
      </c>
      <c r="B1694" s="4" t="s">
        <v>5079</v>
      </c>
      <c r="C1694" s="3" t="s">
        <v>5080</v>
      </c>
      <c r="D1694" s="5" t="s">
        <v>8</v>
      </c>
      <c r="E1694" s="6">
        <f>VALUE(62000)</f>
        <v>62000</v>
      </c>
      <c r="F1694" s="5" t="s">
        <v>10</v>
      </c>
    </row>
    <row r="1695" spans="1:6">
      <c r="A1695" s="1" t="s">
        <v>5081</v>
      </c>
      <c r="B1695" s="4" t="s">
        <v>5082</v>
      </c>
      <c r="C1695" s="3" t="s">
        <v>5083</v>
      </c>
      <c r="D1695" s="5" t="s">
        <v>8</v>
      </c>
      <c r="E1695" s="6">
        <f>VALUE(42000)</f>
        <v>42000</v>
      </c>
      <c r="F1695" s="5" t="s">
        <v>10</v>
      </c>
    </row>
    <row r="1696" spans="1:6">
      <c r="A1696" s="1" t="s">
        <v>5084</v>
      </c>
      <c r="B1696" s="4" t="s">
        <v>5085</v>
      </c>
      <c r="C1696" s="3" t="s">
        <v>5086</v>
      </c>
      <c r="D1696" s="5" t="s">
        <v>8</v>
      </c>
      <c r="E1696" s="6">
        <f>VALUE(19500)</f>
        <v>19500</v>
      </c>
      <c r="F1696" s="5" t="s">
        <v>10</v>
      </c>
    </row>
    <row r="1697" spans="1:6" ht="29">
      <c r="A1697" s="1" t="s">
        <v>5087</v>
      </c>
      <c r="B1697" s="4" t="s">
        <v>5088</v>
      </c>
      <c r="C1697" s="3" t="s">
        <v>5089</v>
      </c>
      <c r="D1697" s="5" t="s">
        <v>8</v>
      </c>
      <c r="E1697" s="6">
        <f>VALUE(2700)</f>
        <v>2700</v>
      </c>
      <c r="F1697" s="5" t="s">
        <v>10</v>
      </c>
    </row>
    <row r="1698" spans="1:6" ht="29">
      <c r="A1698" s="1" t="s">
        <v>5090</v>
      </c>
      <c r="B1698" s="4" t="s">
        <v>5091</v>
      </c>
      <c r="C1698" s="3" t="s">
        <v>5092</v>
      </c>
      <c r="D1698" s="5" t="s">
        <v>8</v>
      </c>
      <c r="E1698" s="6">
        <f>VALUE(3495)</f>
        <v>3495</v>
      </c>
      <c r="F1698" s="5" t="s">
        <v>10</v>
      </c>
    </row>
    <row r="1699" spans="1:6" ht="29">
      <c r="A1699" s="1" t="s">
        <v>5093</v>
      </c>
      <c r="B1699" s="4" t="s">
        <v>5094</v>
      </c>
      <c r="C1699" s="3" t="s">
        <v>5095</v>
      </c>
      <c r="D1699" s="5" t="s">
        <v>8</v>
      </c>
      <c r="E1699" s="6">
        <f>VALUE(3945)</f>
        <v>3945</v>
      </c>
      <c r="F1699" s="5" t="s">
        <v>10</v>
      </c>
    </row>
    <row r="1700" spans="1:6" ht="29">
      <c r="A1700" s="1" t="s">
        <v>5096</v>
      </c>
      <c r="B1700" s="4" t="s">
        <v>5097</v>
      </c>
      <c r="C1700" s="3" t="s">
        <v>5098</v>
      </c>
      <c r="D1700" s="5" t="s">
        <v>8</v>
      </c>
      <c r="E1700" s="6">
        <f>VALUE(5950)</f>
        <v>5950</v>
      </c>
      <c r="F1700" s="5" t="s">
        <v>10</v>
      </c>
    </row>
    <row r="1701" spans="1:6" ht="29">
      <c r="A1701" s="1" t="s">
        <v>5099</v>
      </c>
      <c r="B1701" s="4" t="s">
        <v>5100</v>
      </c>
      <c r="C1701" s="3" t="s">
        <v>5101</v>
      </c>
      <c r="D1701" s="5" t="s">
        <v>8</v>
      </c>
      <c r="E1701" s="6">
        <f>VALUE(3945)</f>
        <v>3945</v>
      </c>
      <c r="F1701" s="5" t="s">
        <v>10</v>
      </c>
    </row>
    <row r="1702" spans="1:6" ht="29">
      <c r="A1702" s="1" t="s">
        <v>5102</v>
      </c>
      <c r="B1702" s="4" t="s">
        <v>5103</v>
      </c>
      <c r="C1702" s="3" t="s">
        <v>5104</v>
      </c>
      <c r="D1702" s="5" t="s">
        <v>8</v>
      </c>
      <c r="E1702" s="6">
        <f>VALUE(3000)</f>
        <v>3000</v>
      </c>
      <c r="F1702" s="5" t="s">
        <v>10</v>
      </c>
    </row>
    <row r="1703" spans="1:6" ht="43.5">
      <c r="A1703" s="1" t="s">
        <v>5105</v>
      </c>
      <c r="B1703" s="4" t="s">
        <v>5106</v>
      </c>
      <c r="C1703" s="3" t="s">
        <v>5107</v>
      </c>
      <c r="D1703" s="5" t="s">
        <v>8</v>
      </c>
      <c r="E1703" s="6">
        <f>VALUE(2500)</f>
        <v>2500</v>
      </c>
      <c r="F1703" s="5" t="s">
        <v>10</v>
      </c>
    </row>
    <row r="1704" spans="1:6">
      <c r="A1704" s="1" t="s">
        <v>5108</v>
      </c>
      <c r="B1704" s="4" t="s">
        <v>5109</v>
      </c>
      <c r="C1704" s="3" t="s">
        <v>5110</v>
      </c>
      <c r="D1704" s="5" t="s">
        <v>8</v>
      </c>
      <c r="E1704" s="6">
        <f>VALUE(17495)</f>
        <v>17495</v>
      </c>
      <c r="F1704" s="5" t="s">
        <v>10</v>
      </c>
    </row>
    <row r="1705" spans="1:6">
      <c r="A1705" s="1" t="s">
        <v>5111</v>
      </c>
      <c r="B1705" s="4" t="s">
        <v>5112</v>
      </c>
      <c r="C1705" s="3" t="s">
        <v>5113</v>
      </c>
      <c r="D1705" s="5" t="s">
        <v>8</v>
      </c>
      <c r="E1705" s="6">
        <f>VALUE(17995)</f>
        <v>17995</v>
      </c>
      <c r="F1705" s="5" t="s">
        <v>10</v>
      </c>
    </row>
    <row r="1706" spans="1:6">
      <c r="A1706" s="1" t="s">
        <v>5114</v>
      </c>
      <c r="B1706" s="4" t="s">
        <v>5115</v>
      </c>
      <c r="C1706" s="3" t="s">
        <v>5116</v>
      </c>
      <c r="D1706" s="5" t="s">
        <v>8</v>
      </c>
      <c r="E1706" s="6">
        <f>VALUE(17495)</f>
        <v>17495</v>
      </c>
      <c r="F1706" s="5" t="s">
        <v>10</v>
      </c>
    </row>
    <row r="1707" spans="1:6">
      <c r="A1707" s="1" t="s">
        <v>5117</v>
      </c>
      <c r="B1707" s="4" t="s">
        <v>5118</v>
      </c>
      <c r="C1707" s="3" t="s">
        <v>5119</v>
      </c>
      <c r="D1707" s="5" t="s">
        <v>8</v>
      </c>
      <c r="E1707" s="6">
        <f>VALUE(17995)</f>
        <v>17995</v>
      </c>
      <c r="F1707" s="5" t="s">
        <v>10</v>
      </c>
    </row>
    <row r="1708" spans="1:6">
      <c r="A1708" s="1" t="s">
        <v>5120</v>
      </c>
      <c r="B1708" s="4" t="s">
        <v>5121</v>
      </c>
      <c r="C1708" s="3" t="s">
        <v>5122</v>
      </c>
      <c r="D1708" s="5" t="s">
        <v>8</v>
      </c>
      <c r="E1708" s="6">
        <f>VALUE(2625)</f>
        <v>2625</v>
      </c>
      <c r="F1708" s="5" t="s">
        <v>10</v>
      </c>
    </row>
    <row r="1709" spans="1:6">
      <c r="A1709" s="1" t="s">
        <v>5123</v>
      </c>
      <c r="B1709" s="4" t="s">
        <v>5124</v>
      </c>
      <c r="C1709" s="3" t="s">
        <v>5125</v>
      </c>
      <c r="D1709" s="5" t="s">
        <v>8</v>
      </c>
      <c r="E1709" s="6">
        <f>VALUE(2625)</f>
        <v>2625</v>
      </c>
      <c r="F1709" s="5" t="s">
        <v>10</v>
      </c>
    </row>
    <row r="1710" spans="1:6">
      <c r="A1710" s="1" t="s">
        <v>5126</v>
      </c>
      <c r="B1710" s="4" t="s">
        <v>5127</v>
      </c>
      <c r="C1710" s="3" t="s">
        <v>5128</v>
      </c>
      <c r="D1710" s="5" t="s">
        <v>8</v>
      </c>
      <c r="E1710" s="6">
        <f>VALUE(2855)</f>
        <v>2855</v>
      </c>
      <c r="F1710" s="5" t="s">
        <v>10</v>
      </c>
    </row>
    <row r="1711" spans="1:6">
      <c r="A1711" s="1" t="s">
        <v>5129</v>
      </c>
      <c r="B1711" s="4" t="s">
        <v>5130</v>
      </c>
      <c r="C1711" s="3" t="s">
        <v>5131</v>
      </c>
      <c r="D1711" s="5" t="s">
        <v>8</v>
      </c>
      <c r="E1711" s="6">
        <f>VALUE(1785)</f>
        <v>1785</v>
      </c>
      <c r="F1711" s="5" t="s">
        <v>10</v>
      </c>
    </row>
    <row r="1712" spans="1:6" ht="29">
      <c r="A1712" s="1" t="s">
        <v>5132</v>
      </c>
      <c r="B1712" s="4" t="s">
        <v>5133</v>
      </c>
      <c r="C1712" s="3" t="s">
        <v>5134</v>
      </c>
      <c r="D1712" s="5" t="s">
        <v>8</v>
      </c>
      <c r="E1712" s="6">
        <f>VALUE(1785)</f>
        <v>1785</v>
      </c>
      <c r="F1712" s="5" t="s">
        <v>10</v>
      </c>
    </row>
    <row r="1713" spans="1:6">
      <c r="A1713" s="1" t="s">
        <v>5135</v>
      </c>
      <c r="B1713" s="4" t="s">
        <v>5136</v>
      </c>
      <c r="C1713" s="3" t="s">
        <v>5137</v>
      </c>
      <c r="D1713" s="5" t="s">
        <v>8</v>
      </c>
      <c r="E1713" s="6">
        <f>VALUE(2025)</f>
        <v>2025</v>
      </c>
      <c r="F1713" s="5" t="s">
        <v>10</v>
      </c>
    </row>
    <row r="1714" spans="1:6">
      <c r="A1714" s="1" t="s">
        <v>5138</v>
      </c>
      <c r="B1714" s="4" t="s">
        <v>5139</v>
      </c>
      <c r="C1714" s="3" t="s">
        <v>5140</v>
      </c>
      <c r="D1714" s="5" t="s">
        <v>8</v>
      </c>
      <c r="E1714" s="6">
        <f>VALUE(49000)</f>
        <v>49000</v>
      </c>
      <c r="F1714" s="5" t="s">
        <v>10</v>
      </c>
    </row>
    <row r="1715" spans="1:6">
      <c r="A1715" s="1" t="s">
        <v>5141</v>
      </c>
      <c r="B1715" s="4" t="s">
        <v>5142</v>
      </c>
      <c r="C1715" s="3" t="s">
        <v>5143</v>
      </c>
      <c r="D1715" s="5" t="s">
        <v>8</v>
      </c>
      <c r="E1715" s="6">
        <f>VALUE(57025)</f>
        <v>57025</v>
      </c>
      <c r="F1715" s="5" t="s">
        <v>10</v>
      </c>
    </row>
    <row r="1716" spans="1:6">
      <c r="A1716" s="1" t="s">
        <v>5144</v>
      </c>
      <c r="B1716" s="4" t="s">
        <v>5145</v>
      </c>
      <c r="C1716" s="3" t="s">
        <v>5146</v>
      </c>
      <c r="D1716" s="5" t="s">
        <v>8</v>
      </c>
      <c r="E1716" s="6">
        <f>VALUE(51085)</f>
        <v>51085</v>
      </c>
      <c r="F1716" s="5" t="s">
        <v>10</v>
      </c>
    </row>
    <row r="1717" spans="1:6">
      <c r="A1717" s="1" t="s">
        <v>5147</v>
      </c>
      <c r="B1717" s="4" t="s">
        <v>5148</v>
      </c>
      <c r="C1717" s="3" t="s">
        <v>5149</v>
      </c>
      <c r="D1717" s="5" t="s">
        <v>8</v>
      </c>
      <c r="E1717" s="6">
        <f>VALUE(124995)</f>
        <v>124995</v>
      </c>
      <c r="F1717" s="5" t="s">
        <v>10</v>
      </c>
    </row>
    <row r="1718" spans="1:6" ht="29">
      <c r="A1718" s="1" t="s">
        <v>5150</v>
      </c>
      <c r="B1718" s="4" t="s">
        <v>5151</v>
      </c>
      <c r="C1718" s="3" t="s">
        <v>5152</v>
      </c>
      <c r="D1718" s="5" t="s">
        <v>8</v>
      </c>
      <c r="E1718" s="6">
        <f>VALUE(94995)</f>
        <v>94995</v>
      </c>
      <c r="F1718" s="5" t="s">
        <v>10</v>
      </c>
    </row>
    <row r="1719" spans="1:6">
      <c r="A1719" s="1" t="s">
        <v>5153</v>
      </c>
      <c r="B1719" s="4" t="s">
        <v>5154</v>
      </c>
      <c r="C1719" s="3" t="s">
        <v>5155</v>
      </c>
      <c r="D1719" s="5" t="s">
        <v>8</v>
      </c>
      <c r="E1719" s="6">
        <f>VALUE(59000)</f>
        <v>59000</v>
      </c>
      <c r="F1719" s="5" t="s">
        <v>10</v>
      </c>
    </row>
    <row r="1720" spans="1:6">
      <c r="A1720" s="1" t="s">
        <v>5156</v>
      </c>
      <c r="B1720" s="4" t="s">
        <v>5157</v>
      </c>
      <c r="C1720" s="3" t="s">
        <v>5158</v>
      </c>
      <c r="D1720" s="5" t="s">
        <v>8</v>
      </c>
      <c r="E1720" s="6">
        <f>VALUE(2190)</f>
        <v>2190</v>
      </c>
      <c r="F1720" s="5" t="s">
        <v>10</v>
      </c>
    </row>
    <row r="1721" spans="1:6">
      <c r="A1721" s="1" t="s">
        <v>5159</v>
      </c>
      <c r="B1721" s="4" t="s">
        <v>5160</v>
      </c>
      <c r="C1721" s="3" t="s">
        <v>5161</v>
      </c>
      <c r="D1721" s="5" t="s">
        <v>8</v>
      </c>
      <c r="E1721" s="6">
        <f>VALUE(3190)</f>
        <v>3190</v>
      </c>
      <c r="F1721" s="5" t="s">
        <v>10</v>
      </c>
    </row>
    <row r="1722" spans="1:6">
      <c r="A1722" s="1" t="s">
        <v>5162</v>
      </c>
      <c r="B1722" s="4" t="s">
        <v>5163</v>
      </c>
      <c r="C1722" s="3" t="s">
        <v>5164</v>
      </c>
      <c r="D1722" s="5" t="s">
        <v>8</v>
      </c>
      <c r="E1722" s="6">
        <f>VALUE(4190)</f>
        <v>4190</v>
      </c>
      <c r="F1722" s="5" t="s">
        <v>10</v>
      </c>
    </row>
    <row r="1723" spans="1:6">
      <c r="A1723" s="1" t="s">
        <v>5165</v>
      </c>
      <c r="B1723" s="4" t="s">
        <v>5166</v>
      </c>
      <c r="C1723" s="3" t="s">
        <v>5167</v>
      </c>
      <c r="D1723" s="5" t="s">
        <v>8</v>
      </c>
      <c r="E1723" s="6">
        <f>VALUE(6190)</f>
        <v>6190</v>
      </c>
      <c r="F1723" s="5" t="s">
        <v>10</v>
      </c>
    </row>
    <row r="1724" spans="1:6" ht="29">
      <c r="A1724" s="1" t="s">
        <v>5168</v>
      </c>
      <c r="B1724" s="4" t="s">
        <v>5169</v>
      </c>
      <c r="C1724" s="3" t="s">
        <v>5170</v>
      </c>
      <c r="D1724" s="5" t="s">
        <v>8</v>
      </c>
      <c r="E1724" s="6">
        <f>VALUE(15995)</f>
        <v>15995</v>
      </c>
      <c r="F1724" s="5" t="s">
        <v>10</v>
      </c>
    </row>
    <row r="1725" spans="1:6" ht="29">
      <c r="A1725" s="1" t="s">
        <v>5171</v>
      </c>
      <c r="B1725" s="4" t="s">
        <v>5172</v>
      </c>
      <c r="C1725" s="3" t="s">
        <v>5173</v>
      </c>
      <c r="D1725" s="5" t="s">
        <v>8</v>
      </c>
      <c r="E1725" s="6">
        <f>VALUE(15995)</f>
        <v>15995</v>
      </c>
      <c r="F1725" s="5" t="s">
        <v>10</v>
      </c>
    </row>
    <row r="1726" spans="1:6" ht="29">
      <c r="A1726" s="1" t="s">
        <v>5174</v>
      </c>
      <c r="B1726" s="4" t="s">
        <v>5175</v>
      </c>
      <c r="C1726" s="3" t="s">
        <v>5176</v>
      </c>
      <c r="D1726" s="5" t="s">
        <v>8</v>
      </c>
      <c r="E1726" s="6">
        <f>VALUE(16745)</f>
        <v>16745</v>
      </c>
      <c r="F1726" s="5" t="s">
        <v>10</v>
      </c>
    </row>
    <row r="1727" spans="1:6" ht="29">
      <c r="A1727" s="1" t="s">
        <v>5177</v>
      </c>
      <c r="B1727" s="4" t="s">
        <v>5178</v>
      </c>
      <c r="C1727" s="3" t="s">
        <v>5179</v>
      </c>
      <c r="D1727" s="5" t="s">
        <v>8</v>
      </c>
      <c r="E1727" s="6">
        <f>VALUE(16745)</f>
        <v>16745</v>
      </c>
      <c r="F1727" s="5" t="s">
        <v>10</v>
      </c>
    </row>
    <row r="1728" spans="1:6">
      <c r="A1728" s="1" t="s">
        <v>5180</v>
      </c>
      <c r="B1728" s="4" t="s">
        <v>5181</v>
      </c>
      <c r="C1728" s="3" t="s">
        <v>5182</v>
      </c>
      <c r="D1728" s="5" t="s">
        <v>8</v>
      </c>
      <c r="E1728" s="6">
        <f>VALUE(38495)</f>
        <v>38495</v>
      </c>
      <c r="F1728" s="5" t="s">
        <v>10</v>
      </c>
    </row>
    <row r="1729" spans="1:6" ht="29">
      <c r="A1729" s="1" t="s">
        <v>5183</v>
      </c>
      <c r="B1729" s="4" t="s">
        <v>5184</v>
      </c>
      <c r="C1729" s="3" t="s">
        <v>5185</v>
      </c>
      <c r="D1729" s="5" t="s">
        <v>8</v>
      </c>
      <c r="E1729" s="6">
        <f>VALUE(43995)</f>
        <v>43995</v>
      </c>
      <c r="F1729" s="5" t="s">
        <v>10</v>
      </c>
    </row>
    <row r="1730" spans="1:6">
      <c r="A1730" s="1" t="s">
        <v>5186</v>
      </c>
      <c r="B1730" s="4" t="s">
        <v>5187</v>
      </c>
      <c r="C1730" s="3" t="s">
        <v>5188</v>
      </c>
      <c r="D1730" s="5" t="s">
        <v>8</v>
      </c>
      <c r="E1730" s="6">
        <f>VALUE(39495)</f>
        <v>39495</v>
      </c>
      <c r="F1730" s="5" t="s">
        <v>10</v>
      </c>
    </row>
    <row r="1731" spans="1:6" ht="29">
      <c r="A1731" s="1" t="s">
        <v>5189</v>
      </c>
      <c r="B1731" s="4" t="s">
        <v>5190</v>
      </c>
      <c r="C1731" s="3" t="s">
        <v>5191</v>
      </c>
      <c r="D1731" s="5" t="s">
        <v>8</v>
      </c>
      <c r="E1731" s="6">
        <f>VALUE(44995)</f>
        <v>44995</v>
      </c>
      <c r="F1731" s="5" t="s">
        <v>10</v>
      </c>
    </row>
    <row r="1732" spans="1:6">
      <c r="A1732" s="1" t="s">
        <v>5192</v>
      </c>
      <c r="B1732" s="4" t="s">
        <v>5193</v>
      </c>
      <c r="C1732" s="3" t="s">
        <v>5194</v>
      </c>
      <c r="D1732" s="5" t="s">
        <v>8</v>
      </c>
      <c r="E1732" s="6">
        <f>VALUE(4925)</f>
        <v>4925</v>
      </c>
      <c r="F1732" s="5" t="s">
        <v>10</v>
      </c>
    </row>
    <row r="1733" spans="1:6">
      <c r="A1733" s="1" t="s">
        <v>5195</v>
      </c>
      <c r="B1733" s="4" t="s">
        <v>5196</v>
      </c>
      <c r="C1733" s="3" t="s">
        <v>5197</v>
      </c>
      <c r="D1733" s="5" t="s">
        <v>8</v>
      </c>
      <c r="E1733" s="6">
        <f>VALUE(6885)</f>
        <v>6885</v>
      </c>
      <c r="F1733" s="5" t="s">
        <v>10</v>
      </c>
    </row>
    <row r="1734" spans="1:6" ht="29">
      <c r="A1734" s="1" t="s">
        <v>5198</v>
      </c>
      <c r="B1734" s="4" t="s">
        <v>5199</v>
      </c>
      <c r="C1734" s="3" t="s">
        <v>5200</v>
      </c>
      <c r="D1734" s="5" t="s">
        <v>8</v>
      </c>
      <c r="E1734" s="6">
        <f>VALUE(495)</f>
        <v>495</v>
      </c>
      <c r="F1734" s="5" t="s">
        <v>10</v>
      </c>
    </row>
    <row r="1735" spans="1:6" ht="29">
      <c r="A1735" s="1" t="s">
        <v>5201</v>
      </c>
      <c r="B1735" s="4" t="s">
        <v>5202</v>
      </c>
      <c r="C1735" s="3" t="s">
        <v>5203</v>
      </c>
      <c r="D1735" s="5" t="s">
        <v>8</v>
      </c>
      <c r="E1735" s="6">
        <f>VALUE(595)</f>
        <v>595</v>
      </c>
      <c r="F1735" s="5" t="s">
        <v>10</v>
      </c>
    </row>
    <row r="1736" spans="1:6">
      <c r="A1736" s="1" t="s">
        <v>5204</v>
      </c>
      <c r="B1736" s="4" t="s">
        <v>5205</v>
      </c>
      <c r="C1736" s="3" t="s">
        <v>5206</v>
      </c>
      <c r="D1736" s="5" t="s">
        <v>8</v>
      </c>
      <c r="E1736" s="6">
        <f>VALUE(495)</f>
        <v>495</v>
      </c>
      <c r="F1736" s="5" t="s">
        <v>10</v>
      </c>
    </row>
    <row r="1737" spans="1:6">
      <c r="A1737" s="1" t="s">
        <v>5207</v>
      </c>
      <c r="B1737" s="4" t="s">
        <v>5208</v>
      </c>
      <c r="C1737" s="3" t="s">
        <v>5209</v>
      </c>
      <c r="D1737" s="5" t="s">
        <v>8</v>
      </c>
      <c r="E1737" s="6">
        <f>VALUE(595)</f>
        <v>595</v>
      </c>
      <c r="F1737" s="5" t="s">
        <v>10</v>
      </c>
    </row>
    <row r="1738" spans="1:6" ht="29">
      <c r="A1738" s="1" t="s">
        <v>5210</v>
      </c>
      <c r="B1738" s="4" t="s">
        <v>5211</v>
      </c>
      <c r="C1738" s="3" t="s">
        <v>5212</v>
      </c>
      <c r="D1738" s="5" t="s">
        <v>8</v>
      </c>
      <c r="E1738" s="6">
        <f>VALUE(1305)</f>
        <v>1305</v>
      </c>
      <c r="F1738" s="5" t="s">
        <v>10</v>
      </c>
    </row>
    <row r="1739" spans="1:6" ht="29">
      <c r="A1739" s="1" t="s">
        <v>5213</v>
      </c>
      <c r="B1739" s="4" t="s">
        <v>5214</v>
      </c>
      <c r="C1739" s="3" t="s">
        <v>5215</v>
      </c>
      <c r="D1739" s="5" t="s">
        <v>8</v>
      </c>
      <c r="E1739" s="6">
        <f>VALUE(1655)</f>
        <v>1655</v>
      </c>
      <c r="F1739" s="5" t="s">
        <v>10</v>
      </c>
    </row>
    <row r="1740" spans="1:6">
      <c r="A1740" s="1" t="s">
        <v>5216</v>
      </c>
      <c r="B1740" s="4" t="s">
        <v>5217</v>
      </c>
      <c r="C1740" s="3" t="s">
        <v>5218</v>
      </c>
      <c r="D1740" s="5" t="s">
        <v>8</v>
      </c>
      <c r="E1740" s="6">
        <f>VALUE(2615)</f>
        <v>2615</v>
      </c>
      <c r="F1740" s="5" t="s">
        <v>10</v>
      </c>
    </row>
    <row r="1741" spans="1:6">
      <c r="A1741" s="1" t="s">
        <v>5219</v>
      </c>
      <c r="B1741" s="4" t="s">
        <v>5220</v>
      </c>
      <c r="C1741" s="3" t="s">
        <v>5221</v>
      </c>
      <c r="D1741" s="5" t="s">
        <v>8</v>
      </c>
      <c r="E1741" s="6">
        <f>VALUE(3805)</f>
        <v>3805</v>
      </c>
      <c r="F1741" s="5" t="s">
        <v>10</v>
      </c>
    </row>
    <row r="1742" spans="1:6">
      <c r="A1742" s="1" t="s">
        <v>5222</v>
      </c>
      <c r="B1742" s="4" t="s">
        <v>5223</v>
      </c>
      <c r="C1742" s="3" t="s">
        <v>5224</v>
      </c>
      <c r="D1742" s="5" t="s">
        <v>8</v>
      </c>
      <c r="E1742" s="6">
        <f>VALUE(595)</f>
        <v>595</v>
      </c>
      <c r="F1742" s="5" t="s">
        <v>10</v>
      </c>
    </row>
    <row r="1743" spans="1:6">
      <c r="A1743" s="1" t="s">
        <v>5225</v>
      </c>
      <c r="B1743" s="4" t="s">
        <v>5226</v>
      </c>
      <c r="C1743" s="3" t="s">
        <v>5227</v>
      </c>
      <c r="D1743" s="5" t="s">
        <v>8</v>
      </c>
      <c r="E1743" s="6">
        <f>VALUE(795)</f>
        <v>795</v>
      </c>
      <c r="F1743" s="5" t="s">
        <v>10</v>
      </c>
    </row>
    <row r="1744" spans="1:6">
      <c r="A1744" s="1" t="s">
        <v>5228</v>
      </c>
      <c r="B1744" s="4" t="s">
        <v>5229</v>
      </c>
      <c r="C1744" s="3" t="s">
        <v>5230</v>
      </c>
      <c r="D1744" s="5" t="s">
        <v>8</v>
      </c>
      <c r="E1744" s="6">
        <f>VALUE(1795)</f>
        <v>1795</v>
      </c>
      <c r="F1744" s="5" t="s">
        <v>10</v>
      </c>
    </row>
    <row r="1745" spans="1:6">
      <c r="A1745" s="1" t="s">
        <v>5231</v>
      </c>
      <c r="B1745" s="4" t="s">
        <v>5232</v>
      </c>
      <c r="C1745" s="3" t="s">
        <v>5231</v>
      </c>
      <c r="D1745" s="5" t="s">
        <v>8</v>
      </c>
      <c r="E1745" s="6">
        <f>VALUE(2995)</f>
        <v>2995</v>
      </c>
      <c r="F1745" s="5" t="s">
        <v>10</v>
      </c>
    </row>
    <row r="1746" spans="1:6">
      <c r="A1746" s="1" t="s">
        <v>5233</v>
      </c>
      <c r="B1746" s="4" t="s">
        <v>5234</v>
      </c>
      <c r="C1746" s="3" t="s">
        <v>5233</v>
      </c>
      <c r="D1746" s="5" t="s">
        <v>8</v>
      </c>
      <c r="E1746" s="6">
        <f>VALUE(9995)</f>
        <v>9995</v>
      </c>
      <c r="F1746" s="5" t="s">
        <v>9</v>
      </c>
    </row>
    <row r="1747" spans="1:6" ht="29">
      <c r="A1747" s="1" t="s">
        <v>5235</v>
      </c>
      <c r="B1747" s="4" t="s">
        <v>5236</v>
      </c>
      <c r="C1747" s="3" t="s">
        <v>5237</v>
      </c>
      <c r="D1747" s="5" t="s">
        <v>8</v>
      </c>
      <c r="E1747" s="6">
        <f>VALUE(68)</f>
        <v>68</v>
      </c>
      <c r="F1747" s="5" t="s">
        <v>10</v>
      </c>
    </row>
    <row r="1748" spans="1:6">
      <c r="A1748" s="1" t="s">
        <v>5238</v>
      </c>
      <c r="B1748" s="4" t="s">
        <v>5239</v>
      </c>
      <c r="C1748" s="3" t="s">
        <v>5240</v>
      </c>
      <c r="D1748" s="5" t="s">
        <v>8</v>
      </c>
      <c r="E1748" s="6">
        <f>VALUE(85)</f>
        <v>85</v>
      </c>
      <c r="F1748" s="5" t="s">
        <v>10</v>
      </c>
    </row>
    <row r="1749" spans="1:6">
      <c r="A1749" s="1" t="s">
        <v>5241</v>
      </c>
      <c r="B1749" s="4" t="s">
        <v>5242</v>
      </c>
      <c r="C1749" s="3" t="s">
        <v>5243</v>
      </c>
      <c r="D1749" s="5" t="s">
        <v>8</v>
      </c>
      <c r="E1749" s="6">
        <f>VALUE(295)</f>
        <v>295</v>
      </c>
      <c r="F1749" s="5" t="s">
        <v>10</v>
      </c>
    </row>
    <row r="1750" spans="1:6" ht="29">
      <c r="A1750" s="1" t="s">
        <v>5244</v>
      </c>
      <c r="B1750" s="4" t="s">
        <v>5245</v>
      </c>
      <c r="C1750" s="3" t="s">
        <v>5246</v>
      </c>
      <c r="D1750" s="5" t="s">
        <v>8</v>
      </c>
      <c r="E1750" s="6">
        <f>VALUE(400000)</f>
        <v>400000</v>
      </c>
      <c r="F1750" s="5" t="s">
        <v>10</v>
      </c>
    </row>
    <row r="1751" spans="1:6">
      <c r="A1751" s="1" t="s">
        <v>5247</v>
      </c>
      <c r="B1751" s="4" t="s">
        <v>5248</v>
      </c>
      <c r="C1751" s="3" t="s">
        <v>5247</v>
      </c>
      <c r="D1751" s="5" t="s">
        <v>8</v>
      </c>
      <c r="E1751" s="6">
        <f>VALUE(195)</f>
        <v>195</v>
      </c>
      <c r="F1751" s="5" t="s">
        <v>10</v>
      </c>
    </row>
    <row r="1752" spans="1:6">
      <c r="A1752" s="1" t="s">
        <v>5249</v>
      </c>
      <c r="B1752" s="4" t="s">
        <v>5250</v>
      </c>
      <c r="C1752" s="3" t="s">
        <v>5249</v>
      </c>
      <c r="D1752" s="5" t="s">
        <v>8</v>
      </c>
      <c r="E1752" s="6">
        <f>VALUE(195)</f>
        <v>195</v>
      </c>
      <c r="F1752" s="5" t="s">
        <v>10</v>
      </c>
    </row>
    <row r="1753" spans="1:6">
      <c r="A1753" s="1" t="s">
        <v>5251</v>
      </c>
      <c r="B1753" s="4" t="s">
        <v>5252</v>
      </c>
      <c r="C1753" s="3" t="s">
        <v>5251</v>
      </c>
      <c r="D1753" s="5" t="s">
        <v>8</v>
      </c>
      <c r="E1753" s="6">
        <f>VALUE(245)</f>
        <v>245</v>
      </c>
      <c r="F1753" s="5" t="s">
        <v>10</v>
      </c>
    </row>
    <row r="1754" spans="1:6">
      <c r="A1754" s="1" t="s">
        <v>5253</v>
      </c>
      <c r="B1754" s="4" t="s">
        <v>5254</v>
      </c>
      <c r="C1754" s="3" t="s">
        <v>5255</v>
      </c>
      <c r="D1754" s="5" t="s">
        <v>8</v>
      </c>
      <c r="E1754" s="6">
        <f>VALUE(495)</f>
        <v>495</v>
      </c>
      <c r="F1754" s="5" t="s">
        <v>10</v>
      </c>
    </row>
    <row r="1755" spans="1:6">
      <c r="A1755" s="1" t="s">
        <v>5256</v>
      </c>
      <c r="B1755" s="4" t="s">
        <v>5257</v>
      </c>
      <c r="C1755" s="3" t="s">
        <v>5256</v>
      </c>
      <c r="D1755" s="5" t="s">
        <v>8</v>
      </c>
      <c r="E1755" s="6">
        <f>VALUE(795)</f>
        <v>795</v>
      </c>
      <c r="F1755" s="5" t="s">
        <v>10</v>
      </c>
    </row>
    <row r="1756" spans="1:6">
      <c r="A1756" s="1" t="s">
        <v>5258</v>
      </c>
      <c r="B1756" s="4" t="s">
        <v>5259</v>
      </c>
      <c r="C1756" s="3" t="s">
        <v>5258</v>
      </c>
      <c r="D1756" s="5" t="s">
        <v>8</v>
      </c>
      <c r="E1756" s="6">
        <f>VALUE(1245)</f>
        <v>1245</v>
      </c>
      <c r="F1756" s="5" t="s">
        <v>10</v>
      </c>
    </row>
    <row r="1757" spans="1:6">
      <c r="A1757" s="1" t="s">
        <v>5260</v>
      </c>
      <c r="B1757" s="4" t="s">
        <v>5261</v>
      </c>
      <c r="C1757" s="3" t="s">
        <v>5260</v>
      </c>
      <c r="D1757" s="5" t="s">
        <v>8</v>
      </c>
      <c r="E1757" s="6">
        <f>VALUE(3250)</f>
        <v>3250</v>
      </c>
      <c r="F1757" s="5" t="s">
        <v>10</v>
      </c>
    </row>
    <row r="1758" spans="1:6" ht="29">
      <c r="A1758" s="1" t="s">
        <v>5262</v>
      </c>
      <c r="B1758" s="4" t="s">
        <v>5263</v>
      </c>
      <c r="C1758" s="3" t="s">
        <v>5262</v>
      </c>
      <c r="D1758" s="5" t="s">
        <v>8</v>
      </c>
      <c r="E1758" s="6">
        <f>VALUE(1245)</f>
        <v>1245</v>
      </c>
      <c r="F1758" s="5" t="s">
        <v>10</v>
      </c>
    </row>
    <row r="1759" spans="1:6">
      <c r="A1759" s="1" t="s">
        <v>5264</v>
      </c>
      <c r="B1759" s="4" t="s">
        <v>5265</v>
      </c>
      <c r="C1759" s="3" t="s">
        <v>5266</v>
      </c>
      <c r="D1759" s="5" t="s">
        <v>8</v>
      </c>
      <c r="E1759" s="6">
        <f>VALUE(14995)</f>
        <v>14995</v>
      </c>
      <c r="F1759" s="5" t="s">
        <v>10</v>
      </c>
    </row>
    <row r="1760" spans="1:6" ht="29">
      <c r="A1760" s="1" t="s">
        <v>5267</v>
      </c>
      <c r="B1760" s="4" t="s">
        <v>5268</v>
      </c>
      <c r="C1760" s="3" t="s">
        <v>5269</v>
      </c>
      <c r="D1760" s="5" t="s">
        <v>8</v>
      </c>
      <c r="E1760" s="6">
        <f>VALUE(15995)</f>
        <v>15995</v>
      </c>
      <c r="F1760" s="5" t="s">
        <v>10</v>
      </c>
    </row>
    <row r="1761" spans="1:6" ht="29">
      <c r="A1761" s="1" t="s">
        <v>5270</v>
      </c>
      <c r="B1761" s="4" t="s">
        <v>5271</v>
      </c>
      <c r="C1761" s="3" t="s">
        <v>5272</v>
      </c>
      <c r="D1761" s="5" t="s">
        <v>8</v>
      </c>
      <c r="E1761" s="6">
        <f>VALUE(16095)</f>
        <v>16095</v>
      </c>
      <c r="F1761" s="5" t="s">
        <v>10</v>
      </c>
    </row>
    <row r="1762" spans="1:6" ht="29">
      <c r="A1762" s="1" t="s">
        <v>5273</v>
      </c>
      <c r="B1762" s="4" t="s">
        <v>5274</v>
      </c>
      <c r="C1762" s="3" t="s">
        <v>5275</v>
      </c>
      <c r="D1762" s="5" t="s">
        <v>8</v>
      </c>
      <c r="E1762" s="6">
        <f>VALUE(27000)</f>
        <v>27000</v>
      </c>
      <c r="F1762" s="5" t="s">
        <v>10</v>
      </c>
    </row>
    <row r="1763" spans="1:6" ht="29">
      <c r="A1763" s="1" t="s">
        <v>5276</v>
      </c>
      <c r="B1763" s="4" t="s">
        <v>5277</v>
      </c>
      <c r="C1763" s="3" t="s">
        <v>5278</v>
      </c>
      <c r="D1763" s="5" t="s">
        <v>8</v>
      </c>
      <c r="E1763" s="6">
        <f>VALUE(29000)</f>
        <v>29000</v>
      </c>
      <c r="F1763" s="5" t="s">
        <v>10</v>
      </c>
    </row>
    <row r="1764" spans="1:6" ht="29">
      <c r="A1764" s="1" t="s">
        <v>5279</v>
      </c>
      <c r="B1764" s="4" t="s">
        <v>5280</v>
      </c>
      <c r="C1764" s="3" t="s">
        <v>5281</v>
      </c>
      <c r="D1764" s="5" t="s">
        <v>8</v>
      </c>
      <c r="E1764" s="6">
        <f>VALUE(43000)</f>
        <v>43000</v>
      </c>
      <c r="F1764" s="5" t="s">
        <v>10</v>
      </c>
    </row>
    <row r="1765" spans="1:6" ht="29">
      <c r="A1765" s="1" t="s">
        <v>5282</v>
      </c>
      <c r="B1765" s="4" t="s">
        <v>5283</v>
      </c>
      <c r="C1765" s="3" t="s">
        <v>5284</v>
      </c>
      <c r="D1765" s="5" t="s">
        <v>8</v>
      </c>
      <c r="E1765" s="6">
        <f>VALUE(45000)</f>
        <v>45000</v>
      </c>
      <c r="F1765" s="5" t="s">
        <v>10</v>
      </c>
    </row>
    <row r="1766" spans="1:6" ht="29">
      <c r="A1766" s="1" t="s">
        <v>5285</v>
      </c>
      <c r="B1766" s="4" t="s">
        <v>5286</v>
      </c>
      <c r="C1766" s="3" t="s">
        <v>5287</v>
      </c>
      <c r="D1766" s="5" t="s">
        <v>8</v>
      </c>
      <c r="E1766" s="6">
        <f>VALUE(88000)</f>
        <v>88000</v>
      </c>
      <c r="F1766" s="5" t="s">
        <v>10</v>
      </c>
    </row>
    <row r="1767" spans="1:6" ht="29">
      <c r="A1767" s="1" t="s">
        <v>5288</v>
      </c>
      <c r="B1767" s="4" t="s">
        <v>5289</v>
      </c>
      <c r="C1767" s="3" t="s">
        <v>5290</v>
      </c>
      <c r="D1767" s="5" t="s">
        <v>8</v>
      </c>
      <c r="E1767" s="6">
        <f>VALUE(92000)</f>
        <v>92000</v>
      </c>
      <c r="F1767" s="5" t="s">
        <v>10</v>
      </c>
    </row>
    <row r="1768" spans="1:6" ht="29">
      <c r="A1768" s="1" t="s">
        <v>5291</v>
      </c>
      <c r="B1768" s="4" t="s">
        <v>5292</v>
      </c>
      <c r="C1768" s="3" t="s">
        <v>5293</v>
      </c>
      <c r="D1768" s="5" t="s">
        <v>8</v>
      </c>
      <c r="E1768" s="6">
        <f>VALUE(75)</f>
        <v>75</v>
      </c>
      <c r="F1768" s="5" t="s">
        <v>10</v>
      </c>
    </row>
    <row r="1769" spans="1:6" ht="29">
      <c r="A1769" s="1" t="s">
        <v>5294</v>
      </c>
      <c r="B1769" s="4" t="s">
        <v>5295</v>
      </c>
      <c r="C1769" s="3" t="s">
        <v>5296</v>
      </c>
      <c r="D1769" s="5" t="s">
        <v>8</v>
      </c>
      <c r="E1769" s="6">
        <f>VALUE(75)</f>
        <v>75</v>
      </c>
      <c r="F1769" s="5" t="s">
        <v>10</v>
      </c>
    </row>
    <row r="1770" spans="1:6" ht="29">
      <c r="A1770" s="1" t="s">
        <v>5297</v>
      </c>
      <c r="B1770" s="4" t="s">
        <v>5298</v>
      </c>
      <c r="C1770" s="3" t="s">
        <v>5299</v>
      </c>
      <c r="D1770" s="5" t="s">
        <v>8</v>
      </c>
      <c r="E1770" s="6">
        <f>VALUE(75)</f>
        <v>75</v>
      </c>
      <c r="F1770" s="5" t="s">
        <v>10</v>
      </c>
    </row>
    <row r="1771" spans="1:6" ht="29">
      <c r="A1771" s="1" t="s">
        <v>5300</v>
      </c>
      <c r="B1771" s="4" t="s">
        <v>5301</v>
      </c>
      <c r="C1771" s="3" t="s">
        <v>5302</v>
      </c>
      <c r="D1771" s="5" t="s">
        <v>8</v>
      </c>
      <c r="E1771" s="6">
        <f>VALUE(75)</f>
        <v>75</v>
      </c>
      <c r="F1771" s="5" t="s">
        <v>10</v>
      </c>
    </row>
    <row r="1772" spans="1:6">
      <c r="A1772" s="1" t="s">
        <v>5303</v>
      </c>
      <c r="B1772" s="4" t="s">
        <v>5304</v>
      </c>
      <c r="C1772" s="3" t="s">
        <v>5305</v>
      </c>
      <c r="D1772" s="5" t="s">
        <v>8</v>
      </c>
      <c r="E1772" s="6">
        <f>VALUE(15)</f>
        <v>15</v>
      </c>
      <c r="F1772" s="5" t="s">
        <v>10</v>
      </c>
    </row>
    <row r="1773" spans="1:6">
      <c r="A1773" s="1" t="s">
        <v>5306</v>
      </c>
      <c r="B1773" s="4" t="s">
        <v>5307</v>
      </c>
      <c r="C1773" s="3" t="s">
        <v>5308</v>
      </c>
      <c r="D1773" s="5" t="s">
        <v>8</v>
      </c>
      <c r="E1773" s="6">
        <f>VALUE(25)</f>
        <v>25</v>
      </c>
      <c r="F1773" s="5" t="s">
        <v>10</v>
      </c>
    </row>
    <row r="1774" spans="1:6">
      <c r="A1774" s="1" t="s">
        <v>5309</v>
      </c>
      <c r="B1774" s="4" t="s">
        <v>5310</v>
      </c>
      <c r="C1774" s="3" t="s">
        <v>5311</v>
      </c>
      <c r="D1774" s="5" t="s">
        <v>8</v>
      </c>
      <c r="E1774" s="6">
        <f>VALUE(25)</f>
        <v>25</v>
      </c>
      <c r="F1774" s="5" t="s">
        <v>10</v>
      </c>
    </row>
    <row r="1775" spans="1:6">
      <c r="A1775" s="1" t="s">
        <v>5312</v>
      </c>
      <c r="B1775" s="4" t="s">
        <v>5313</v>
      </c>
      <c r="C1775" s="3" t="s">
        <v>5314</v>
      </c>
      <c r="D1775" s="5" t="s">
        <v>8</v>
      </c>
      <c r="E1775" s="6">
        <f>VALUE(25)</f>
        <v>25</v>
      </c>
      <c r="F1775" s="5" t="s">
        <v>10</v>
      </c>
    </row>
    <row r="1776" spans="1:6">
      <c r="A1776" s="1" t="s">
        <v>5315</v>
      </c>
      <c r="B1776" s="4" t="s">
        <v>5316</v>
      </c>
      <c r="C1776" s="3" t="s">
        <v>5317</v>
      </c>
      <c r="D1776" s="5" t="s">
        <v>8</v>
      </c>
      <c r="E1776" s="6">
        <f>VALUE(25)</f>
        <v>25</v>
      </c>
      <c r="F1776" s="5" t="s">
        <v>10</v>
      </c>
    </row>
    <row r="1777" spans="1:6" ht="29">
      <c r="A1777" s="1" t="s">
        <v>5318</v>
      </c>
      <c r="B1777" s="4" t="s">
        <v>5319</v>
      </c>
      <c r="C1777" s="3" t="s">
        <v>5320</v>
      </c>
      <c r="D1777" s="5" t="s">
        <v>8</v>
      </c>
      <c r="E1777" s="6">
        <f>VALUE(42765)</f>
        <v>42765</v>
      </c>
      <c r="F1777" s="5" t="s">
        <v>10</v>
      </c>
    </row>
    <row r="1778" spans="1:6">
      <c r="A1778" s="1" t="s">
        <v>5321</v>
      </c>
      <c r="B1778" s="4" t="s">
        <v>5322</v>
      </c>
      <c r="C1778" s="3" t="s">
        <v>5323</v>
      </c>
      <c r="D1778" s="5" t="s">
        <v>8</v>
      </c>
      <c r="E1778" s="6">
        <f>VALUE(59395)</f>
        <v>59395</v>
      </c>
      <c r="F1778" s="5" t="s">
        <v>10</v>
      </c>
    </row>
    <row r="1779" spans="1:6" ht="29">
      <c r="A1779" s="1" t="s">
        <v>5324</v>
      </c>
      <c r="B1779" s="4" t="s">
        <v>5325</v>
      </c>
      <c r="C1779" s="3" t="s">
        <v>5326</v>
      </c>
      <c r="D1779" s="5" t="s">
        <v>8</v>
      </c>
      <c r="E1779" s="6">
        <f>VALUE(24945)</f>
        <v>24945</v>
      </c>
      <c r="F1779" s="5" t="s">
        <v>10</v>
      </c>
    </row>
    <row r="1780" spans="1:6" ht="29">
      <c r="A1780" s="1" t="s">
        <v>5327</v>
      </c>
      <c r="B1780" s="4" t="s">
        <v>5328</v>
      </c>
      <c r="C1780" s="3" t="s">
        <v>5329</v>
      </c>
      <c r="D1780" s="5" t="s">
        <v>8</v>
      </c>
      <c r="E1780" s="6">
        <f>VALUE(14995)</f>
        <v>14995</v>
      </c>
      <c r="F1780" s="5" t="s">
        <v>10</v>
      </c>
    </row>
    <row r="1781" spans="1:6">
      <c r="A1781" s="1" t="s">
        <v>5330</v>
      </c>
      <c r="B1781" s="4" t="s">
        <v>5331</v>
      </c>
      <c r="C1781" s="3" t="s">
        <v>5332</v>
      </c>
      <c r="D1781" s="5" t="s">
        <v>8</v>
      </c>
      <c r="E1781" s="6">
        <f>VALUE(195)</f>
        <v>195</v>
      </c>
      <c r="F1781" s="5" t="s">
        <v>10</v>
      </c>
    </row>
    <row r="1782" spans="1:6">
      <c r="A1782" s="1" t="s">
        <v>5333</v>
      </c>
      <c r="B1782" s="4" t="s">
        <v>5334</v>
      </c>
      <c r="C1782" s="3" t="s">
        <v>5335</v>
      </c>
      <c r="D1782" s="5" t="s">
        <v>8</v>
      </c>
      <c r="E1782" s="6">
        <f>VALUE(245)</f>
        <v>245</v>
      </c>
      <c r="F1782" s="5" t="s">
        <v>10</v>
      </c>
    </row>
    <row r="1783" spans="1:6">
      <c r="A1783" s="1" t="s">
        <v>5336</v>
      </c>
      <c r="B1783" s="4" t="s">
        <v>5337</v>
      </c>
      <c r="C1783" s="3" t="s">
        <v>5338</v>
      </c>
      <c r="D1783" s="5" t="s">
        <v>8</v>
      </c>
      <c r="E1783" s="6">
        <f>VALUE(195)</f>
        <v>195</v>
      </c>
      <c r="F1783" s="5" t="s">
        <v>10</v>
      </c>
    </row>
    <row r="1784" spans="1:6">
      <c r="A1784" s="1" t="s">
        <v>5339</v>
      </c>
      <c r="B1784" s="4" t="s">
        <v>5340</v>
      </c>
      <c r="C1784" s="3" t="s">
        <v>5341</v>
      </c>
      <c r="D1784" s="5" t="s">
        <v>8</v>
      </c>
      <c r="E1784" s="6">
        <f>VALUE(245)</f>
        <v>245</v>
      </c>
      <c r="F1784" s="5" t="s">
        <v>10</v>
      </c>
    </row>
    <row r="1785" spans="1:6" ht="29">
      <c r="A1785" s="1" t="s">
        <v>5342</v>
      </c>
      <c r="B1785" s="4" t="s">
        <v>5343</v>
      </c>
      <c r="C1785" s="3" t="s">
        <v>5344</v>
      </c>
      <c r="D1785" s="5" t="s">
        <v>8</v>
      </c>
      <c r="E1785" s="6">
        <f>VALUE(42995)</f>
        <v>42995</v>
      </c>
      <c r="F1785" s="5" t="s">
        <v>10</v>
      </c>
    </row>
    <row r="1786" spans="1:6">
      <c r="A1786" s="1" t="s">
        <v>5345</v>
      </c>
      <c r="B1786" s="4" t="s">
        <v>5346</v>
      </c>
      <c r="C1786" s="3" t="s">
        <v>5347</v>
      </c>
      <c r="D1786" s="5" t="s">
        <v>8</v>
      </c>
      <c r="E1786" s="6">
        <f>VALUE(14995)</f>
        <v>14995</v>
      </c>
      <c r="F1786" s="5" t="s">
        <v>10</v>
      </c>
    </row>
    <row r="1787" spans="1:6">
      <c r="A1787" s="1" t="s">
        <v>5348</v>
      </c>
      <c r="B1787" s="4" t="s">
        <v>5349</v>
      </c>
      <c r="C1787" s="3" t="s">
        <v>5350</v>
      </c>
      <c r="D1787" s="5" t="s">
        <v>8</v>
      </c>
      <c r="E1787" s="6">
        <f>VALUE(17995)</f>
        <v>17995</v>
      </c>
      <c r="F1787" s="5" t="s">
        <v>10</v>
      </c>
    </row>
    <row r="1788" spans="1:6">
      <c r="A1788" s="1" t="s">
        <v>5351</v>
      </c>
      <c r="B1788" s="4" t="s">
        <v>5352</v>
      </c>
      <c r="C1788" s="3" t="s">
        <v>5353</v>
      </c>
      <c r="D1788" s="5" t="s">
        <v>8</v>
      </c>
      <c r="E1788" s="6">
        <f>VALUE(195)</f>
        <v>195</v>
      </c>
      <c r="F1788" s="5" t="s">
        <v>10</v>
      </c>
    </row>
    <row r="1789" spans="1:6">
      <c r="A1789" s="1" t="s">
        <v>5354</v>
      </c>
      <c r="B1789" s="4" t="s">
        <v>5355</v>
      </c>
      <c r="C1789" s="3" t="s">
        <v>5356</v>
      </c>
      <c r="D1789" s="5" t="s">
        <v>8</v>
      </c>
      <c r="E1789" s="6">
        <f>VALUE(5995)</f>
        <v>5995</v>
      </c>
      <c r="F1789" s="5" t="s">
        <v>10</v>
      </c>
    </row>
    <row r="1790" spans="1:6">
      <c r="A1790" s="1" t="s">
        <v>5357</v>
      </c>
      <c r="B1790" s="4" t="s">
        <v>5358</v>
      </c>
      <c r="C1790" s="3" t="s">
        <v>5359</v>
      </c>
      <c r="D1790" s="5" t="s">
        <v>8</v>
      </c>
      <c r="E1790" s="6">
        <f>VALUE(5995)</f>
        <v>5995</v>
      </c>
      <c r="F1790" s="5" t="s">
        <v>10</v>
      </c>
    </row>
    <row r="1791" spans="1:6" ht="29">
      <c r="A1791" s="1" t="s">
        <v>5360</v>
      </c>
      <c r="B1791" s="4" t="s">
        <v>5361</v>
      </c>
      <c r="C1791" s="3" t="s">
        <v>5360</v>
      </c>
      <c r="D1791" s="5" t="s">
        <v>8</v>
      </c>
      <c r="E1791" s="6">
        <f>VALUE(295)</f>
        <v>295</v>
      </c>
      <c r="F1791" s="5" t="s">
        <v>10</v>
      </c>
    </row>
    <row r="1792" spans="1:6">
      <c r="A1792" s="1" t="s">
        <v>5362</v>
      </c>
      <c r="B1792" s="4" t="s">
        <v>5363</v>
      </c>
      <c r="C1792" s="3" t="s">
        <v>5364</v>
      </c>
      <c r="D1792" s="5" t="s">
        <v>8</v>
      </c>
      <c r="E1792" s="6">
        <f>VALUE(2995)</f>
        <v>2995</v>
      </c>
      <c r="F1792" s="5" t="s">
        <v>10</v>
      </c>
    </row>
    <row r="1793" spans="1:6" ht="29">
      <c r="A1793" s="1" t="s">
        <v>5365</v>
      </c>
      <c r="B1793" s="4" t="s">
        <v>5366</v>
      </c>
      <c r="C1793" s="3" t="s">
        <v>5367</v>
      </c>
      <c r="D1793" s="5" t="s">
        <v>8</v>
      </c>
      <c r="E1793" s="6">
        <f>VALUE(2995)</f>
        <v>2995</v>
      </c>
      <c r="F1793" s="5" t="s">
        <v>10</v>
      </c>
    </row>
    <row r="1794" spans="1:6" ht="29">
      <c r="A1794" s="1" t="s">
        <v>5368</v>
      </c>
      <c r="B1794" s="4" t="s">
        <v>5369</v>
      </c>
      <c r="C1794" s="3" t="s">
        <v>5370</v>
      </c>
      <c r="D1794" s="5" t="s">
        <v>8</v>
      </c>
      <c r="E1794" s="6">
        <f>VALUE(3495)</f>
        <v>3495</v>
      </c>
      <c r="F1794" s="5" t="s">
        <v>10</v>
      </c>
    </row>
    <row r="1795" spans="1:6" ht="29">
      <c r="A1795" s="1" t="s">
        <v>5371</v>
      </c>
      <c r="B1795" s="4" t="s">
        <v>5372</v>
      </c>
      <c r="C1795" s="3" t="s">
        <v>5373</v>
      </c>
      <c r="D1795" s="5" t="s">
        <v>8</v>
      </c>
      <c r="E1795" s="6">
        <f>VALUE(14995)</f>
        <v>14995</v>
      </c>
      <c r="F1795" s="5" t="s">
        <v>10</v>
      </c>
    </row>
    <row r="1796" spans="1:6" ht="29">
      <c r="A1796" s="1" t="s">
        <v>5374</v>
      </c>
      <c r="B1796" s="4" t="s">
        <v>5375</v>
      </c>
      <c r="C1796" s="3" t="s">
        <v>5376</v>
      </c>
      <c r="D1796" s="5" t="s">
        <v>8</v>
      </c>
      <c r="E1796" s="6">
        <f>VALUE(12995)</f>
        <v>12995</v>
      </c>
      <c r="F1796" s="5" t="s">
        <v>10</v>
      </c>
    </row>
    <row r="1797" spans="1:6" ht="29">
      <c r="A1797" s="1" t="s">
        <v>5377</v>
      </c>
      <c r="B1797" s="4" t="s">
        <v>5378</v>
      </c>
      <c r="C1797" s="3" t="s">
        <v>5379</v>
      </c>
      <c r="D1797" s="5" t="s">
        <v>8</v>
      </c>
      <c r="E1797" s="6">
        <f>VALUE(14995)</f>
        <v>14995</v>
      </c>
      <c r="F1797" s="5" t="s">
        <v>10</v>
      </c>
    </row>
    <row r="1798" spans="1:6" ht="29">
      <c r="A1798" s="1" t="s">
        <v>5380</v>
      </c>
      <c r="B1798" s="4" t="s">
        <v>5381</v>
      </c>
      <c r="C1798" s="3" t="s">
        <v>5382</v>
      </c>
      <c r="D1798" s="5" t="s">
        <v>8</v>
      </c>
      <c r="E1798" s="6">
        <f>VALUE(15995)</f>
        <v>15995</v>
      </c>
      <c r="F1798" s="5" t="s">
        <v>10</v>
      </c>
    </row>
    <row r="1799" spans="1:6" ht="29">
      <c r="A1799" s="1" t="s">
        <v>5383</v>
      </c>
      <c r="B1799" s="4" t="s">
        <v>5384</v>
      </c>
      <c r="C1799" s="3" t="s">
        <v>5385</v>
      </c>
      <c r="D1799" s="5" t="s">
        <v>8</v>
      </c>
      <c r="E1799" s="6">
        <f>VALUE(17995)</f>
        <v>17995</v>
      </c>
      <c r="F1799" s="5" t="s">
        <v>10</v>
      </c>
    </row>
    <row r="1800" spans="1:6" ht="29">
      <c r="A1800" s="1" t="s">
        <v>5386</v>
      </c>
      <c r="B1800" s="4" t="s">
        <v>5387</v>
      </c>
      <c r="C1800" s="3" t="s">
        <v>5388</v>
      </c>
      <c r="D1800" s="5" t="s">
        <v>8</v>
      </c>
      <c r="E1800" s="6">
        <f>VALUE(29995)</f>
        <v>29995</v>
      </c>
      <c r="F1800" s="5" t="s">
        <v>10</v>
      </c>
    </row>
    <row r="1801" spans="1:6" ht="29">
      <c r="A1801" s="1" t="s">
        <v>5389</v>
      </c>
      <c r="B1801" s="4" t="s">
        <v>5390</v>
      </c>
      <c r="C1801" s="3" t="s">
        <v>5391</v>
      </c>
      <c r="D1801" s="5" t="s">
        <v>8</v>
      </c>
      <c r="E1801" s="6">
        <f>VALUE(31995)</f>
        <v>31995</v>
      </c>
      <c r="F1801" s="5" t="s">
        <v>10</v>
      </c>
    </row>
    <row r="1802" spans="1:6" ht="29">
      <c r="A1802" s="1" t="s">
        <v>5392</v>
      </c>
      <c r="B1802" s="4" t="s">
        <v>5393</v>
      </c>
      <c r="C1802" s="3" t="s">
        <v>5394</v>
      </c>
      <c r="D1802" s="5" t="s">
        <v>8</v>
      </c>
      <c r="E1802" s="6">
        <f>VALUE(16995)</f>
        <v>16995</v>
      </c>
      <c r="F1802" s="5" t="s">
        <v>10</v>
      </c>
    </row>
    <row r="1803" spans="1:6" ht="29">
      <c r="A1803" s="1" t="s">
        <v>5395</v>
      </c>
      <c r="B1803" s="4" t="s">
        <v>5396</v>
      </c>
      <c r="C1803" s="3" t="s">
        <v>5397</v>
      </c>
      <c r="D1803" s="5" t="s">
        <v>8</v>
      </c>
      <c r="E1803" s="6">
        <f>VALUE(19995)</f>
        <v>19995</v>
      </c>
      <c r="F1803" s="5" t="s">
        <v>10</v>
      </c>
    </row>
    <row r="1804" spans="1:6" ht="29">
      <c r="A1804" s="1" t="s">
        <v>5398</v>
      </c>
      <c r="B1804" s="4" t="s">
        <v>5399</v>
      </c>
      <c r="C1804" s="3" t="s">
        <v>5400</v>
      </c>
      <c r="D1804" s="5" t="s">
        <v>8</v>
      </c>
      <c r="E1804" s="6">
        <f>VALUE(19995)</f>
        <v>19995</v>
      </c>
      <c r="F1804" s="5" t="s">
        <v>10</v>
      </c>
    </row>
    <row r="1805" spans="1:6" ht="29">
      <c r="A1805" s="1" t="s">
        <v>5401</v>
      </c>
      <c r="B1805" s="4" t="s">
        <v>5402</v>
      </c>
      <c r="C1805" s="3" t="s">
        <v>5403</v>
      </c>
      <c r="D1805" s="5" t="s">
        <v>8</v>
      </c>
      <c r="E1805" s="6">
        <f>VALUE(22995)</f>
        <v>22995</v>
      </c>
      <c r="F1805" s="5" t="s">
        <v>10</v>
      </c>
    </row>
    <row r="1806" spans="1:6" ht="29">
      <c r="A1806" s="1" t="s">
        <v>5404</v>
      </c>
      <c r="B1806" s="4" t="s">
        <v>5405</v>
      </c>
      <c r="C1806" s="3" t="s">
        <v>5406</v>
      </c>
      <c r="D1806" s="5" t="s">
        <v>8</v>
      </c>
      <c r="E1806" s="6">
        <f>VALUE(39995)</f>
        <v>39995</v>
      </c>
      <c r="F1806" s="5" t="s">
        <v>10</v>
      </c>
    </row>
    <row r="1807" spans="1:6" ht="29">
      <c r="A1807" s="1" t="s">
        <v>5407</v>
      </c>
      <c r="B1807" s="4" t="s">
        <v>5408</v>
      </c>
      <c r="C1807" s="3" t="s">
        <v>5409</v>
      </c>
      <c r="D1807" s="5" t="s">
        <v>8</v>
      </c>
      <c r="E1807" s="6">
        <f>VALUE(42995)</f>
        <v>42995</v>
      </c>
      <c r="F1807" s="5" t="s">
        <v>10</v>
      </c>
    </row>
    <row r="1808" spans="1:6" ht="29">
      <c r="A1808" s="1" t="s">
        <v>5410</v>
      </c>
      <c r="B1808" s="4" t="s">
        <v>5411</v>
      </c>
      <c r="C1808" s="3" t="s">
        <v>5412</v>
      </c>
      <c r="D1808" s="5" t="s">
        <v>8</v>
      </c>
      <c r="E1808" s="6">
        <f>VALUE(19995)</f>
        <v>19995</v>
      </c>
      <c r="F1808" s="5" t="s">
        <v>10</v>
      </c>
    </row>
    <row r="1809" spans="1:6" ht="29">
      <c r="A1809" s="1" t="s">
        <v>5413</v>
      </c>
      <c r="B1809" s="4" t="s">
        <v>5414</v>
      </c>
      <c r="C1809" s="3" t="s">
        <v>5415</v>
      </c>
      <c r="D1809" s="5" t="s">
        <v>8</v>
      </c>
      <c r="E1809" s="6">
        <f>VALUE(22995)</f>
        <v>22995</v>
      </c>
      <c r="F1809" s="5" t="s">
        <v>10</v>
      </c>
    </row>
    <row r="1810" spans="1:6">
      <c r="A1810" s="1" t="s">
        <v>5416</v>
      </c>
      <c r="B1810" s="4" t="s">
        <v>5417</v>
      </c>
      <c r="C1810" s="3" t="s">
        <v>5418</v>
      </c>
      <c r="D1810" s="5" t="s">
        <v>8</v>
      </c>
      <c r="E1810" s="6">
        <f>VALUE(2995)</f>
        <v>2995</v>
      </c>
      <c r="F1810" s="5" t="s">
        <v>10</v>
      </c>
    </row>
    <row r="1811" spans="1:6" ht="29">
      <c r="A1811" s="1" t="s">
        <v>5419</v>
      </c>
      <c r="B1811" s="4" t="s">
        <v>5420</v>
      </c>
      <c r="C1811" s="3" t="s">
        <v>5421</v>
      </c>
      <c r="D1811" s="5" t="s">
        <v>8</v>
      </c>
      <c r="E1811" s="6">
        <f t="shared" ref="E1811:E1821" si="1">VALUE(1095)</f>
        <v>1095</v>
      </c>
      <c r="F1811" s="5" t="s">
        <v>10</v>
      </c>
    </row>
    <row r="1812" spans="1:6" ht="29">
      <c r="A1812" s="1" t="s">
        <v>5422</v>
      </c>
      <c r="B1812" s="4" t="s">
        <v>5423</v>
      </c>
      <c r="C1812" s="3" t="s">
        <v>5422</v>
      </c>
      <c r="D1812" s="5" t="s">
        <v>8</v>
      </c>
      <c r="E1812" s="6">
        <f t="shared" si="1"/>
        <v>1095</v>
      </c>
      <c r="F1812" s="5" t="s">
        <v>10</v>
      </c>
    </row>
    <row r="1813" spans="1:6" ht="29">
      <c r="A1813" s="1" t="s">
        <v>5424</v>
      </c>
      <c r="B1813" s="4" t="s">
        <v>5425</v>
      </c>
      <c r="C1813" s="3" t="s">
        <v>5426</v>
      </c>
      <c r="D1813" s="5" t="s">
        <v>8</v>
      </c>
      <c r="E1813" s="6">
        <f t="shared" si="1"/>
        <v>1095</v>
      </c>
      <c r="F1813" s="5" t="s">
        <v>10</v>
      </c>
    </row>
    <row r="1814" spans="1:6" ht="29">
      <c r="A1814" s="1" t="s">
        <v>5427</v>
      </c>
      <c r="B1814" s="4" t="s">
        <v>5428</v>
      </c>
      <c r="C1814" s="3" t="s">
        <v>5427</v>
      </c>
      <c r="D1814" s="5" t="s">
        <v>8</v>
      </c>
      <c r="E1814" s="6">
        <f t="shared" si="1"/>
        <v>1095</v>
      </c>
      <c r="F1814" s="5" t="s">
        <v>10</v>
      </c>
    </row>
    <row r="1815" spans="1:6" ht="29">
      <c r="A1815" s="1" t="s">
        <v>5429</v>
      </c>
      <c r="B1815" s="4" t="s">
        <v>5430</v>
      </c>
      <c r="C1815" s="3" t="s">
        <v>5429</v>
      </c>
      <c r="D1815" s="5" t="s">
        <v>8</v>
      </c>
      <c r="E1815" s="6">
        <f t="shared" si="1"/>
        <v>1095</v>
      </c>
      <c r="F1815" s="5" t="s">
        <v>10</v>
      </c>
    </row>
    <row r="1816" spans="1:6" ht="29">
      <c r="A1816" s="1" t="s">
        <v>5431</v>
      </c>
      <c r="B1816" s="4" t="s">
        <v>5432</v>
      </c>
      <c r="C1816" s="3" t="s">
        <v>5431</v>
      </c>
      <c r="D1816" s="5" t="s">
        <v>8</v>
      </c>
      <c r="E1816" s="6">
        <f t="shared" si="1"/>
        <v>1095</v>
      </c>
      <c r="F1816" s="5" t="s">
        <v>10</v>
      </c>
    </row>
    <row r="1817" spans="1:6" ht="29">
      <c r="A1817" s="1" t="s">
        <v>5433</v>
      </c>
      <c r="B1817" s="4" t="s">
        <v>5434</v>
      </c>
      <c r="C1817" s="3" t="s">
        <v>5433</v>
      </c>
      <c r="D1817" s="5" t="s">
        <v>8</v>
      </c>
      <c r="E1817" s="6">
        <f t="shared" si="1"/>
        <v>1095</v>
      </c>
      <c r="F1817" s="5" t="s">
        <v>10</v>
      </c>
    </row>
    <row r="1818" spans="1:6" ht="29">
      <c r="A1818" s="1" t="s">
        <v>5435</v>
      </c>
      <c r="B1818" s="4" t="s">
        <v>5436</v>
      </c>
      <c r="C1818" s="3" t="s">
        <v>5437</v>
      </c>
      <c r="D1818" s="5" t="s">
        <v>8</v>
      </c>
      <c r="E1818" s="6">
        <f t="shared" si="1"/>
        <v>1095</v>
      </c>
      <c r="F1818" s="5" t="s">
        <v>10</v>
      </c>
    </row>
    <row r="1819" spans="1:6" ht="29">
      <c r="A1819" s="1" t="s">
        <v>5438</v>
      </c>
      <c r="B1819" s="4" t="s">
        <v>5439</v>
      </c>
      <c r="C1819" s="3" t="s">
        <v>5438</v>
      </c>
      <c r="D1819" s="5" t="s">
        <v>8</v>
      </c>
      <c r="E1819" s="6">
        <f t="shared" si="1"/>
        <v>1095</v>
      </c>
      <c r="F1819" s="5" t="s">
        <v>10</v>
      </c>
    </row>
    <row r="1820" spans="1:6" ht="29">
      <c r="A1820" s="1" t="s">
        <v>5440</v>
      </c>
      <c r="B1820" s="4" t="s">
        <v>5441</v>
      </c>
      <c r="C1820" s="3" t="s">
        <v>5442</v>
      </c>
      <c r="D1820" s="5" t="s">
        <v>8</v>
      </c>
      <c r="E1820" s="6">
        <f t="shared" si="1"/>
        <v>1095</v>
      </c>
      <c r="F1820" s="5" t="s">
        <v>10</v>
      </c>
    </row>
    <row r="1821" spans="1:6" ht="29">
      <c r="A1821" s="1" t="s">
        <v>5443</v>
      </c>
      <c r="B1821" s="4" t="s">
        <v>5444</v>
      </c>
      <c r="C1821" s="3" t="s">
        <v>5443</v>
      </c>
      <c r="D1821" s="5" t="s">
        <v>8</v>
      </c>
      <c r="E1821" s="6">
        <f t="shared" si="1"/>
        <v>1095</v>
      </c>
      <c r="F1821" s="5" t="s">
        <v>10</v>
      </c>
    </row>
    <row r="1822" spans="1:6" ht="29">
      <c r="A1822" s="1" t="s">
        <v>5445</v>
      </c>
      <c r="B1822" s="4" t="s">
        <v>5446</v>
      </c>
      <c r="C1822" s="3" t="s">
        <v>5447</v>
      </c>
      <c r="D1822" s="5" t="s">
        <v>8</v>
      </c>
      <c r="E1822" s="6">
        <f>VALUE(2195)</f>
        <v>2195</v>
      </c>
      <c r="F1822" s="5" t="s">
        <v>10</v>
      </c>
    </row>
    <row r="1823" spans="1:6">
      <c r="A1823" s="1" t="s">
        <v>5448</v>
      </c>
      <c r="B1823" s="4" t="s">
        <v>5449</v>
      </c>
      <c r="C1823" s="3" t="s">
        <v>5450</v>
      </c>
      <c r="D1823" s="5" t="s">
        <v>8</v>
      </c>
      <c r="E1823" s="6">
        <f>VALUE(795)</f>
        <v>795</v>
      </c>
      <c r="F1823" s="5" t="s">
        <v>10</v>
      </c>
    </row>
    <row r="1824" spans="1:6" ht="29">
      <c r="A1824" s="1" t="s">
        <v>5451</v>
      </c>
      <c r="B1824" s="4" t="s">
        <v>5452</v>
      </c>
      <c r="C1824" s="3" t="s">
        <v>5453</v>
      </c>
      <c r="D1824" s="5" t="s">
        <v>8</v>
      </c>
      <c r="E1824" s="6">
        <f>VALUE(1195)</f>
        <v>1195</v>
      </c>
      <c r="F1824" s="5" t="s">
        <v>10</v>
      </c>
    </row>
    <row r="1825" spans="1:6" ht="29">
      <c r="A1825" s="1" t="s">
        <v>5454</v>
      </c>
      <c r="B1825" s="4" t="s">
        <v>5455</v>
      </c>
      <c r="C1825" s="3" t="s">
        <v>5456</v>
      </c>
      <c r="D1825" s="5" t="s">
        <v>8</v>
      </c>
      <c r="E1825" s="6">
        <f>VALUE(2995)</f>
        <v>2995</v>
      </c>
      <c r="F1825" s="5" t="s">
        <v>10</v>
      </c>
    </row>
    <row r="1826" spans="1:6" ht="29">
      <c r="A1826" s="1" t="s">
        <v>5457</v>
      </c>
      <c r="B1826" s="4" t="s">
        <v>5458</v>
      </c>
      <c r="C1826" s="3" t="s">
        <v>5459</v>
      </c>
      <c r="D1826" s="5" t="s">
        <v>8</v>
      </c>
      <c r="E1826" s="6">
        <f>VALUE(185)</f>
        <v>185</v>
      </c>
      <c r="F1826" s="5" t="s">
        <v>10</v>
      </c>
    </row>
    <row r="1827" spans="1:6">
      <c r="A1827" s="1" t="s">
        <v>5460</v>
      </c>
      <c r="B1827" s="4" t="s">
        <v>5461</v>
      </c>
      <c r="C1827" s="3" t="s">
        <v>5462</v>
      </c>
      <c r="D1827" s="5" t="s">
        <v>8</v>
      </c>
      <c r="E1827" s="6">
        <f>VALUE(715)</f>
        <v>715</v>
      </c>
      <c r="F1827" s="5" t="s">
        <v>10</v>
      </c>
    </row>
    <row r="1828" spans="1:6">
      <c r="A1828" s="1" t="s">
        <v>5463</v>
      </c>
      <c r="B1828" s="4" t="s">
        <v>5464</v>
      </c>
      <c r="C1828" s="3" t="s">
        <v>5465</v>
      </c>
      <c r="D1828" s="5" t="s">
        <v>8</v>
      </c>
      <c r="E1828" s="6">
        <f>VALUE(1785)</f>
        <v>1785</v>
      </c>
      <c r="F1828" s="5" t="s">
        <v>10</v>
      </c>
    </row>
    <row r="1829" spans="1:6" ht="29">
      <c r="A1829" s="1" t="s">
        <v>5466</v>
      </c>
      <c r="B1829" s="4" t="s">
        <v>5467</v>
      </c>
      <c r="C1829" s="3" t="s">
        <v>5468</v>
      </c>
      <c r="D1829" s="5" t="s">
        <v>8</v>
      </c>
      <c r="E1829" s="6">
        <f>VALUE(595)</f>
        <v>595</v>
      </c>
      <c r="F1829" s="5" t="s">
        <v>10</v>
      </c>
    </row>
    <row r="1830" spans="1:6" ht="43.5">
      <c r="A1830" s="1" t="s">
        <v>5469</v>
      </c>
      <c r="B1830" s="4" t="s">
        <v>5470</v>
      </c>
      <c r="C1830" s="3" t="s">
        <v>5469</v>
      </c>
      <c r="D1830" s="5" t="s">
        <v>8</v>
      </c>
      <c r="E1830" s="6">
        <f>VALUE(3295)</f>
        <v>3295</v>
      </c>
      <c r="F1830" s="5" t="s">
        <v>10</v>
      </c>
    </row>
    <row r="1831" spans="1:6" ht="43.5">
      <c r="A1831" s="1" t="s">
        <v>5471</v>
      </c>
      <c r="B1831" s="4" t="s">
        <v>5472</v>
      </c>
      <c r="C1831" s="3" t="s">
        <v>5471</v>
      </c>
      <c r="D1831" s="5" t="s">
        <v>8</v>
      </c>
      <c r="E1831" s="6">
        <f>VALUE(3295)</f>
        <v>3295</v>
      </c>
      <c r="F1831" s="5" t="s">
        <v>10</v>
      </c>
    </row>
    <row r="1832" spans="1:6">
      <c r="A1832" s="1" t="s">
        <v>5473</v>
      </c>
      <c r="B1832" s="4" t="s">
        <v>5474</v>
      </c>
      <c r="C1832" s="3" t="s">
        <v>5475</v>
      </c>
      <c r="D1832" s="5" t="s">
        <v>8</v>
      </c>
      <c r="E1832" s="6">
        <f>VALUE(3995)</f>
        <v>3995</v>
      </c>
      <c r="F1832" s="5" t="s">
        <v>10</v>
      </c>
    </row>
    <row r="1833" spans="1:6" ht="29">
      <c r="A1833" s="1" t="s">
        <v>5476</v>
      </c>
      <c r="B1833" s="4" t="s">
        <v>5477</v>
      </c>
      <c r="C1833" s="3" t="s">
        <v>5476</v>
      </c>
      <c r="D1833" s="5" t="s">
        <v>8</v>
      </c>
      <c r="E1833" s="6">
        <f>VALUE(4495)</f>
        <v>4495</v>
      </c>
      <c r="F1833" s="5" t="s">
        <v>10</v>
      </c>
    </row>
    <row r="1834" spans="1:6" ht="29">
      <c r="A1834" s="1" t="s">
        <v>5478</v>
      </c>
      <c r="B1834" s="4" t="s">
        <v>5479</v>
      </c>
      <c r="C1834" s="3" t="s">
        <v>5478</v>
      </c>
      <c r="D1834" s="5" t="s">
        <v>8</v>
      </c>
      <c r="E1834" s="6">
        <f>VALUE(3295)</f>
        <v>3295</v>
      </c>
      <c r="F1834" s="5" t="s">
        <v>9</v>
      </c>
    </row>
    <row r="1835" spans="1:6" ht="29">
      <c r="A1835" s="1" t="s">
        <v>5480</v>
      </c>
      <c r="B1835" s="4" t="s">
        <v>5481</v>
      </c>
      <c r="C1835" s="3" t="s">
        <v>5480</v>
      </c>
      <c r="D1835" s="5" t="s">
        <v>8</v>
      </c>
      <c r="E1835" s="6">
        <f>VALUE(3995)</f>
        <v>3995</v>
      </c>
      <c r="F1835" s="5" t="s">
        <v>9</v>
      </c>
    </row>
    <row r="1836" spans="1:6" ht="29">
      <c r="A1836" s="1" t="s">
        <v>5482</v>
      </c>
      <c r="B1836" s="4" t="s">
        <v>5483</v>
      </c>
      <c r="C1836" s="3" t="s">
        <v>5482</v>
      </c>
      <c r="D1836" s="5" t="s">
        <v>8</v>
      </c>
      <c r="E1836" s="6">
        <f>VALUE(3995)</f>
        <v>3995</v>
      </c>
      <c r="F1836" s="5" t="s">
        <v>9</v>
      </c>
    </row>
    <row r="1837" spans="1:6" ht="43.5">
      <c r="A1837" s="1" t="s">
        <v>5484</v>
      </c>
      <c r="B1837" s="4" t="s">
        <v>5485</v>
      </c>
      <c r="C1837" s="3" t="s">
        <v>5486</v>
      </c>
      <c r="D1837" s="5" t="s">
        <v>8</v>
      </c>
      <c r="E1837" s="6">
        <f>VALUE(9995)</f>
        <v>9995</v>
      </c>
      <c r="F1837" s="5" t="s">
        <v>10</v>
      </c>
    </row>
    <row r="1838" spans="1:6" ht="29">
      <c r="A1838" s="1" t="s">
        <v>5487</v>
      </c>
      <c r="B1838" s="4" t="s">
        <v>5488</v>
      </c>
      <c r="C1838" s="3" t="s">
        <v>5487</v>
      </c>
      <c r="D1838" s="5" t="s">
        <v>8</v>
      </c>
      <c r="E1838" s="6">
        <f>VALUE(7995)</f>
        <v>7995</v>
      </c>
      <c r="F1838" s="5" t="s">
        <v>10</v>
      </c>
    </row>
    <row r="1839" spans="1:6" ht="29">
      <c r="A1839" s="1" t="s">
        <v>5489</v>
      </c>
      <c r="B1839" s="4" t="s">
        <v>5490</v>
      </c>
      <c r="C1839" s="3" t="s">
        <v>5491</v>
      </c>
      <c r="D1839" s="5" t="s">
        <v>8</v>
      </c>
      <c r="E1839" s="6">
        <f>VALUE(24995)</f>
        <v>24995</v>
      </c>
      <c r="F1839" s="5" t="s">
        <v>10</v>
      </c>
    </row>
    <row r="1840" spans="1:6" ht="29">
      <c r="A1840" s="1" t="s">
        <v>5492</v>
      </c>
      <c r="B1840" s="4" t="s">
        <v>5493</v>
      </c>
      <c r="C1840" s="3" t="s">
        <v>5494</v>
      </c>
      <c r="D1840" s="5" t="s">
        <v>8</v>
      </c>
      <c r="E1840" s="6">
        <f>VALUE(25995)</f>
        <v>25995</v>
      </c>
      <c r="F1840" s="5" t="s">
        <v>10</v>
      </c>
    </row>
    <row r="1841" spans="1:6" ht="29">
      <c r="A1841" s="1" t="s">
        <v>5495</v>
      </c>
      <c r="B1841" s="4" t="s">
        <v>5496</v>
      </c>
      <c r="C1841" s="3" t="s">
        <v>5497</v>
      </c>
      <c r="D1841" s="5" t="s">
        <v>8</v>
      </c>
      <c r="E1841" s="6">
        <f>VALUE(29995)</f>
        <v>29995</v>
      </c>
      <c r="F1841" s="5" t="s">
        <v>10</v>
      </c>
    </row>
    <row r="1842" spans="1:6" ht="29">
      <c r="A1842" s="1" t="s">
        <v>5498</v>
      </c>
      <c r="B1842" s="4" t="s">
        <v>5499</v>
      </c>
      <c r="C1842" s="3" t="s">
        <v>5500</v>
      </c>
      <c r="D1842" s="5" t="s">
        <v>8</v>
      </c>
      <c r="E1842" s="6">
        <f>VALUE(30995)</f>
        <v>30995</v>
      </c>
      <c r="F1842" s="5" t="s">
        <v>10</v>
      </c>
    </row>
    <row r="1843" spans="1:6">
      <c r="A1843" s="1" t="s">
        <v>5501</v>
      </c>
      <c r="B1843" s="4" t="s">
        <v>5502</v>
      </c>
      <c r="C1843" s="3" t="s">
        <v>5503</v>
      </c>
      <c r="D1843" s="5" t="s">
        <v>8</v>
      </c>
      <c r="E1843" s="6">
        <f>VALUE(59995)</f>
        <v>59995</v>
      </c>
      <c r="F1843" s="5" t="s">
        <v>10</v>
      </c>
    </row>
    <row r="1844" spans="1:6" ht="29">
      <c r="A1844" s="1" t="s">
        <v>5504</v>
      </c>
      <c r="B1844" s="4" t="s">
        <v>5505</v>
      </c>
      <c r="C1844" s="3" t="s">
        <v>5506</v>
      </c>
      <c r="D1844" s="5" t="s">
        <v>8</v>
      </c>
      <c r="E1844" s="6">
        <f>VALUE(94995)</f>
        <v>94995</v>
      </c>
      <c r="F1844" s="5" t="s">
        <v>10</v>
      </c>
    </row>
    <row r="1845" spans="1:6" ht="29">
      <c r="A1845" s="1" t="s">
        <v>5507</v>
      </c>
      <c r="B1845" s="4" t="s">
        <v>5508</v>
      </c>
      <c r="C1845" s="3" t="s">
        <v>5509</v>
      </c>
      <c r="D1845" s="5" t="s">
        <v>8</v>
      </c>
      <c r="E1845" s="6">
        <f>VALUE(53995)</f>
        <v>53995</v>
      </c>
      <c r="F1845" s="5" t="s">
        <v>10</v>
      </c>
    </row>
    <row r="1846" spans="1:6" ht="29">
      <c r="A1846" s="1" t="s">
        <v>5510</v>
      </c>
      <c r="B1846" s="4" t="s">
        <v>5511</v>
      </c>
      <c r="C1846" s="3" t="s">
        <v>5512</v>
      </c>
      <c r="D1846" s="5" t="s">
        <v>8</v>
      </c>
      <c r="E1846" s="6">
        <f>VALUE(59395)</f>
        <v>59395</v>
      </c>
      <c r="F1846" s="5" t="s">
        <v>10</v>
      </c>
    </row>
    <row r="1847" spans="1:6" ht="29">
      <c r="A1847" s="1" t="s">
        <v>5513</v>
      </c>
      <c r="B1847" s="4" t="s">
        <v>5514</v>
      </c>
      <c r="C1847" s="3" t="s">
        <v>5515</v>
      </c>
      <c r="D1847" s="5" t="s">
        <v>8</v>
      </c>
      <c r="E1847" s="6">
        <f>VALUE(99995)</f>
        <v>99995</v>
      </c>
      <c r="F1847" s="5" t="s">
        <v>10</v>
      </c>
    </row>
    <row r="1848" spans="1:6" ht="29">
      <c r="A1848" s="1" t="s">
        <v>5516</v>
      </c>
      <c r="B1848" s="4" t="s">
        <v>5517</v>
      </c>
      <c r="C1848" s="3" t="s">
        <v>5518</v>
      </c>
      <c r="D1848" s="5" t="s">
        <v>8</v>
      </c>
      <c r="E1848" s="6">
        <f>VALUE(47515)</f>
        <v>47515</v>
      </c>
      <c r="F1848" s="5" t="s">
        <v>10</v>
      </c>
    </row>
    <row r="1849" spans="1:6">
      <c r="A1849" s="1" t="s">
        <v>5519</v>
      </c>
      <c r="B1849" s="4" t="s">
        <v>5520</v>
      </c>
      <c r="C1849" s="3" t="s">
        <v>5519</v>
      </c>
      <c r="D1849" s="5" t="s">
        <v>8</v>
      </c>
      <c r="E1849" s="6">
        <f>VALUE(2495)</f>
        <v>2495</v>
      </c>
      <c r="F1849" s="5" t="s">
        <v>5521</v>
      </c>
    </row>
    <row r="1850" spans="1:6">
      <c r="A1850" s="1" t="s">
        <v>5522</v>
      </c>
      <c r="B1850" s="4" t="s">
        <v>5523</v>
      </c>
      <c r="C1850" s="3" t="s">
        <v>5522</v>
      </c>
      <c r="D1850" s="5" t="s">
        <v>8</v>
      </c>
      <c r="E1850" s="6">
        <f>VALUE(12995)</f>
        <v>12995</v>
      </c>
      <c r="F1850" s="5" t="s">
        <v>10</v>
      </c>
    </row>
    <row r="1851" spans="1:6" ht="29">
      <c r="A1851" s="1" t="s">
        <v>5524</v>
      </c>
      <c r="B1851" s="4" t="s">
        <v>5525</v>
      </c>
      <c r="C1851" s="3" t="s">
        <v>5526</v>
      </c>
      <c r="D1851" s="5" t="s">
        <v>8</v>
      </c>
      <c r="E1851" s="6">
        <f>VALUE(35635)</f>
        <v>35635</v>
      </c>
      <c r="F1851" s="5" t="s">
        <v>10</v>
      </c>
    </row>
    <row r="1852" spans="1:6" ht="29">
      <c r="A1852" s="1" t="s">
        <v>5527</v>
      </c>
      <c r="B1852" s="4" t="s">
        <v>5528</v>
      </c>
      <c r="C1852" s="3" t="s">
        <v>5529</v>
      </c>
      <c r="D1852" s="5" t="s">
        <v>8</v>
      </c>
      <c r="E1852" s="6">
        <f>VALUE(38015)</f>
        <v>38015</v>
      </c>
      <c r="F1852" s="5" t="s">
        <v>10</v>
      </c>
    </row>
    <row r="1853" spans="1:6" ht="29">
      <c r="A1853" s="1" t="s">
        <v>5530</v>
      </c>
      <c r="B1853" s="4" t="s">
        <v>5531</v>
      </c>
      <c r="C1853" s="3" t="s">
        <v>5532</v>
      </c>
      <c r="D1853" s="5" t="s">
        <v>8</v>
      </c>
      <c r="E1853" s="6">
        <f>VALUE(10400)</f>
        <v>10400</v>
      </c>
      <c r="F1853" s="5" t="s">
        <v>10</v>
      </c>
    </row>
    <row r="1854" spans="1:6">
      <c r="A1854" s="1" t="s">
        <v>5533</v>
      </c>
      <c r="B1854" s="4" t="s">
        <v>5534</v>
      </c>
      <c r="C1854" s="3" t="s">
        <v>5533</v>
      </c>
      <c r="D1854" s="5" t="s">
        <v>8</v>
      </c>
      <c r="E1854" s="6">
        <f>VALUE(14995)</f>
        <v>14995</v>
      </c>
      <c r="F1854" s="5" t="s">
        <v>10</v>
      </c>
    </row>
    <row r="1855" spans="1:6">
      <c r="A1855" s="1" t="s">
        <v>5535</v>
      </c>
      <c r="B1855" s="4" t="s">
        <v>5536</v>
      </c>
      <c r="C1855" s="3" t="s">
        <v>5535</v>
      </c>
      <c r="D1855" s="5" t="s">
        <v>8</v>
      </c>
      <c r="E1855" s="6">
        <f>VALUE(22495)</f>
        <v>22495</v>
      </c>
      <c r="F1855" s="5" t="s">
        <v>9</v>
      </c>
    </row>
    <row r="1856" spans="1:6">
      <c r="A1856" s="1" t="s">
        <v>5537</v>
      </c>
      <c r="B1856" s="4" t="s">
        <v>5538</v>
      </c>
      <c r="C1856" s="3" t="s">
        <v>5537</v>
      </c>
      <c r="D1856" s="5" t="s">
        <v>8</v>
      </c>
      <c r="E1856" s="6">
        <f>VALUE(6995)</f>
        <v>6995</v>
      </c>
      <c r="F1856" s="5" t="s">
        <v>10</v>
      </c>
    </row>
    <row r="1857" spans="1:6">
      <c r="A1857" s="1" t="s">
        <v>5539</v>
      </c>
      <c r="B1857" s="4" t="s">
        <v>5540</v>
      </c>
      <c r="C1857" s="3" t="s">
        <v>5539</v>
      </c>
      <c r="D1857" s="5" t="s">
        <v>8</v>
      </c>
      <c r="E1857" s="6">
        <f>VALUE(11995)</f>
        <v>11995</v>
      </c>
      <c r="F1857" s="5" t="s">
        <v>10</v>
      </c>
    </row>
    <row r="1858" spans="1:6" ht="29">
      <c r="A1858" s="1" t="s">
        <v>5541</v>
      </c>
      <c r="B1858" s="4" t="s">
        <v>5542</v>
      </c>
      <c r="C1858" s="3" t="s">
        <v>5543</v>
      </c>
      <c r="D1858" s="5" t="s">
        <v>8</v>
      </c>
      <c r="E1858" s="6">
        <f>VALUE(14495)</f>
        <v>14495</v>
      </c>
      <c r="F1858" s="5" t="s">
        <v>10</v>
      </c>
    </row>
    <row r="1859" spans="1:6" ht="29">
      <c r="A1859" s="1" t="s">
        <v>5544</v>
      </c>
      <c r="B1859" s="4" t="s">
        <v>5545</v>
      </c>
      <c r="C1859" s="3" t="s">
        <v>5546</v>
      </c>
      <c r="D1859" s="5" t="s">
        <v>8</v>
      </c>
      <c r="E1859" s="6">
        <f>VALUE(15495)</f>
        <v>15495</v>
      </c>
      <c r="F1859" s="5" t="s">
        <v>10</v>
      </c>
    </row>
    <row r="1860" spans="1:6" ht="29">
      <c r="A1860" s="1" t="s">
        <v>5547</v>
      </c>
      <c r="B1860" s="4" t="s">
        <v>5548</v>
      </c>
      <c r="C1860" s="3" t="s">
        <v>5549</v>
      </c>
      <c r="D1860" s="5" t="s">
        <v>8</v>
      </c>
      <c r="E1860" s="6">
        <f>VALUE(11000)</f>
        <v>11000</v>
      </c>
      <c r="F1860" s="5" t="s">
        <v>10</v>
      </c>
    </row>
    <row r="1861" spans="1:6" ht="29">
      <c r="A1861" s="1" t="s">
        <v>5550</v>
      </c>
      <c r="B1861" s="4" t="s">
        <v>5551</v>
      </c>
      <c r="C1861" s="3" t="s">
        <v>5552</v>
      </c>
      <c r="D1861" s="5" t="s">
        <v>8</v>
      </c>
      <c r="E1861" s="6">
        <f>VALUE(7880)</f>
        <v>7880</v>
      </c>
      <c r="F1861" s="5" t="s">
        <v>10</v>
      </c>
    </row>
    <row r="1862" spans="1:6" ht="29">
      <c r="A1862" s="1" t="s">
        <v>5553</v>
      </c>
      <c r="B1862" s="4" t="s">
        <v>5554</v>
      </c>
      <c r="C1862" s="3" t="s">
        <v>5555</v>
      </c>
      <c r="D1862" s="5" t="s">
        <v>8</v>
      </c>
      <c r="E1862" s="6">
        <f>VALUE(8880)</f>
        <v>8880</v>
      </c>
      <c r="F1862" s="5" t="s">
        <v>10</v>
      </c>
    </row>
    <row r="1863" spans="1:6" ht="29">
      <c r="A1863" s="1" t="s">
        <v>5556</v>
      </c>
      <c r="B1863" s="4" t="s">
        <v>5557</v>
      </c>
      <c r="C1863" s="3" t="s">
        <v>5558</v>
      </c>
      <c r="D1863" s="5" t="s">
        <v>8</v>
      </c>
      <c r="E1863" s="6">
        <f>VALUE(14980)</f>
        <v>14980</v>
      </c>
      <c r="F1863" s="5" t="s">
        <v>10</v>
      </c>
    </row>
    <row r="1864" spans="1:6" ht="29">
      <c r="A1864" s="1" t="s">
        <v>5559</v>
      </c>
      <c r="B1864" s="4" t="s">
        <v>5560</v>
      </c>
      <c r="C1864" s="3" t="s">
        <v>5561</v>
      </c>
      <c r="D1864" s="5" t="s">
        <v>8</v>
      </c>
      <c r="E1864" s="6">
        <f>VALUE(47515)</f>
        <v>47515</v>
      </c>
      <c r="F1864" s="5" t="s">
        <v>10</v>
      </c>
    </row>
    <row r="1865" spans="1:6">
      <c r="A1865" s="1" t="s">
        <v>5562</v>
      </c>
      <c r="B1865" s="4" t="s">
        <v>5563</v>
      </c>
      <c r="C1865" s="3" t="s">
        <v>5564</v>
      </c>
      <c r="D1865" s="5" t="s">
        <v>8</v>
      </c>
      <c r="E1865" s="6">
        <f>VALUE(14995)</f>
        <v>14995</v>
      </c>
      <c r="F1865" s="5" t="s">
        <v>10</v>
      </c>
    </row>
    <row r="1866" spans="1:6">
      <c r="A1866" s="1" t="s">
        <v>5565</v>
      </c>
      <c r="B1866" s="4" t="s">
        <v>5566</v>
      </c>
      <c r="C1866" s="3" t="s">
        <v>5567</v>
      </c>
      <c r="D1866" s="5" t="s">
        <v>8</v>
      </c>
      <c r="E1866" s="6">
        <f>VALUE(29995)</f>
        <v>29995</v>
      </c>
      <c r="F1866" s="5" t="s">
        <v>10</v>
      </c>
    </row>
    <row r="1867" spans="1:6">
      <c r="A1867" s="1" t="s">
        <v>5568</v>
      </c>
      <c r="B1867" s="4" t="s">
        <v>5569</v>
      </c>
      <c r="C1867" s="3" t="s">
        <v>5570</v>
      </c>
      <c r="D1867" s="5" t="s">
        <v>8</v>
      </c>
      <c r="E1867" s="6">
        <f>VALUE(6995)</f>
        <v>6995</v>
      </c>
      <c r="F1867" s="5" t="s">
        <v>10</v>
      </c>
    </row>
    <row r="1868" spans="1:6">
      <c r="A1868" s="1" t="s">
        <v>5571</v>
      </c>
      <c r="B1868" s="4" t="s">
        <v>5572</v>
      </c>
      <c r="C1868" s="3" t="s">
        <v>5573</v>
      </c>
      <c r="D1868" s="5" t="s">
        <v>8</v>
      </c>
      <c r="E1868" s="6">
        <f>VALUE(11995)</f>
        <v>11995</v>
      </c>
      <c r="F1868" s="5" t="s">
        <v>10</v>
      </c>
    </row>
    <row r="1869" spans="1:6" ht="29">
      <c r="A1869" s="1" t="s">
        <v>5574</v>
      </c>
      <c r="B1869" s="4" t="s">
        <v>5575</v>
      </c>
      <c r="C1869" s="3" t="s">
        <v>5576</v>
      </c>
      <c r="D1869" s="5" t="s">
        <v>8</v>
      </c>
      <c r="E1869" s="6">
        <f>VALUE(4995)</f>
        <v>4995</v>
      </c>
      <c r="F1869" s="5" t="s">
        <v>10</v>
      </c>
    </row>
    <row r="1870" spans="1:6" ht="29">
      <c r="A1870" s="1" t="s">
        <v>5577</v>
      </c>
      <c r="B1870" s="4" t="s">
        <v>5578</v>
      </c>
      <c r="C1870" s="3" t="s">
        <v>5579</v>
      </c>
      <c r="D1870" s="5" t="s">
        <v>8</v>
      </c>
      <c r="E1870" s="6">
        <f>VALUE(4995)</f>
        <v>4995</v>
      </c>
      <c r="F1870" s="5" t="s">
        <v>10</v>
      </c>
    </row>
    <row r="1871" spans="1:6" ht="29">
      <c r="A1871" s="1" t="s">
        <v>5580</v>
      </c>
      <c r="B1871" s="4" t="s">
        <v>5581</v>
      </c>
      <c r="C1871" s="3" t="s">
        <v>5582</v>
      </c>
      <c r="D1871" s="5" t="s">
        <v>8</v>
      </c>
      <c r="E1871" s="6">
        <f>VALUE(4995)</f>
        <v>4995</v>
      </c>
      <c r="F1871" s="5" t="s">
        <v>10</v>
      </c>
    </row>
    <row r="1872" spans="1:6" ht="29">
      <c r="A1872" s="1" t="s">
        <v>5583</v>
      </c>
      <c r="B1872" s="4" t="s">
        <v>5584</v>
      </c>
      <c r="C1872" s="3" t="s">
        <v>5583</v>
      </c>
      <c r="D1872" s="5" t="s">
        <v>8</v>
      </c>
      <c r="E1872" s="6">
        <f>VALUE(120000)</f>
        <v>120000</v>
      </c>
      <c r="F1872" s="5" t="s">
        <v>10</v>
      </c>
    </row>
    <row r="1873" spans="1:6" ht="29">
      <c r="A1873" s="1" t="s">
        <v>5585</v>
      </c>
      <c r="B1873" s="4" t="s">
        <v>5586</v>
      </c>
      <c r="C1873" s="3" t="s">
        <v>5585</v>
      </c>
      <c r="D1873" s="5" t="s">
        <v>8</v>
      </c>
      <c r="E1873" s="6">
        <f>VALUE(125000)</f>
        <v>125000</v>
      </c>
      <c r="F1873" s="5" t="s">
        <v>10</v>
      </c>
    </row>
    <row r="1874" spans="1:6" ht="29">
      <c r="A1874" s="1" t="s">
        <v>5587</v>
      </c>
      <c r="B1874" s="4" t="s">
        <v>5588</v>
      </c>
      <c r="C1874" s="3" t="s">
        <v>5589</v>
      </c>
      <c r="D1874" s="5" t="s">
        <v>8</v>
      </c>
      <c r="E1874" s="6">
        <f>VALUE(11875)</f>
        <v>11875</v>
      </c>
      <c r="F1874" s="5" t="s">
        <v>10</v>
      </c>
    </row>
    <row r="1875" spans="1:6">
      <c r="A1875" s="1" t="s">
        <v>5590</v>
      </c>
      <c r="B1875" s="4" t="s">
        <v>5591</v>
      </c>
      <c r="C1875" s="3" t="s">
        <v>5592</v>
      </c>
      <c r="D1875" s="5" t="s">
        <v>8</v>
      </c>
      <c r="E1875" s="6">
        <f>VALUE(10995)</f>
        <v>10995</v>
      </c>
      <c r="F1875" s="5" t="s">
        <v>10</v>
      </c>
    </row>
    <row r="1876" spans="1:6">
      <c r="A1876" s="1" t="s">
        <v>5593</v>
      </c>
      <c r="B1876" s="4" t="s">
        <v>5594</v>
      </c>
      <c r="C1876" s="3" t="s">
        <v>5595</v>
      </c>
      <c r="D1876" s="5" t="s">
        <v>8</v>
      </c>
      <c r="E1876" s="6">
        <f>VALUE(8245)</f>
        <v>8245</v>
      </c>
      <c r="F1876" s="5" t="s">
        <v>10</v>
      </c>
    </row>
    <row r="1877" spans="1:6" ht="29">
      <c r="A1877" s="1" t="s">
        <v>5596</v>
      </c>
      <c r="B1877" s="4" t="s">
        <v>5597</v>
      </c>
      <c r="C1877" s="3" t="s">
        <v>5596</v>
      </c>
      <c r="D1877" s="5" t="s">
        <v>8</v>
      </c>
      <c r="E1877" s="6">
        <f>VALUE(4995)</f>
        <v>4995</v>
      </c>
      <c r="F1877" s="5" t="s">
        <v>10</v>
      </c>
    </row>
    <row r="1878" spans="1:6" ht="29">
      <c r="A1878" s="1" t="s">
        <v>5598</v>
      </c>
      <c r="B1878" s="4" t="s">
        <v>5599</v>
      </c>
      <c r="C1878" s="3" t="s">
        <v>5600</v>
      </c>
      <c r="D1878" s="5" t="s">
        <v>8</v>
      </c>
      <c r="E1878" s="6">
        <f>VALUE(9895)</f>
        <v>9895</v>
      </c>
      <c r="F1878" s="5" t="s">
        <v>10</v>
      </c>
    </row>
    <row r="1879" spans="1:6" ht="29">
      <c r="A1879" s="1" t="s">
        <v>5601</v>
      </c>
      <c r="B1879" s="4" t="s">
        <v>5602</v>
      </c>
      <c r="C1879" s="3" t="s">
        <v>5603</v>
      </c>
      <c r="D1879" s="5" t="s">
        <v>8</v>
      </c>
      <c r="E1879" s="6">
        <f>VALUE(35635)</f>
        <v>35635</v>
      </c>
      <c r="F1879" s="5" t="s">
        <v>10</v>
      </c>
    </row>
    <row r="1880" spans="1:6" ht="29">
      <c r="A1880" s="1" t="s">
        <v>5604</v>
      </c>
      <c r="B1880" s="4" t="s">
        <v>5605</v>
      </c>
      <c r="C1880" s="3" t="s">
        <v>5606</v>
      </c>
      <c r="D1880" s="5" t="s">
        <v>8</v>
      </c>
      <c r="E1880" s="6">
        <f>VALUE(32995)</f>
        <v>32995</v>
      </c>
      <c r="F1880" s="5" t="s">
        <v>10</v>
      </c>
    </row>
    <row r="1881" spans="1:6" ht="29">
      <c r="A1881" s="1" t="s">
        <v>5607</v>
      </c>
      <c r="B1881" s="4" t="s">
        <v>5608</v>
      </c>
      <c r="C1881" s="3" t="s">
        <v>5609</v>
      </c>
      <c r="D1881" s="5" t="s">
        <v>8</v>
      </c>
      <c r="E1881" s="6">
        <f>VALUE(13195)</f>
        <v>13195</v>
      </c>
      <c r="F1881" s="5" t="s">
        <v>10</v>
      </c>
    </row>
    <row r="1882" spans="1:6" ht="29">
      <c r="A1882" s="1" t="s">
        <v>5610</v>
      </c>
      <c r="B1882" s="4" t="s">
        <v>5611</v>
      </c>
      <c r="C1882" s="3" t="s">
        <v>5610</v>
      </c>
      <c r="D1882" s="5" t="s">
        <v>8</v>
      </c>
      <c r="E1882" s="6">
        <f>VALUE(44995)</f>
        <v>44995</v>
      </c>
      <c r="F1882" s="5" t="s">
        <v>10</v>
      </c>
    </row>
    <row r="1883" spans="1:6" ht="29">
      <c r="A1883" s="1" t="s">
        <v>5612</v>
      </c>
      <c r="B1883" s="4" t="s">
        <v>5613</v>
      </c>
      <c r="C1883" s="3" t="s">
        <v>5612</v>
      </c>
      <c r="D1883" s="5" t="s">
        <v>8</v>
      </c>
      <c r="E1883" s="6">
        <f>VALUE(46995)</f>
        <v>46995</v>
      </c>
      <c r="F1883" s="5" t="s">
        <v>10</v>
      </c>
    </row>
    <row r="1884" spans="1:6" ht="29">
      <c r="A1884" s="1" t="s">
        <v>5614</v>
      </c>
      <c r="B1884" s="4" t="s">
        <v>5615</v>
      </c>
      <c r="C1884" s="3" t="s">
        <v>5616</v>
      </c>
      <c r="D1884" s="5" t="s">
        <v>8</v>
      </c>
      <c r="E1884" s="6">
        <f>VALUE(71275)</f>
        <v>71275</v>
      </c>
      <c r="F1884" s="5" t="s">
        <v>10</v>
      </c>
    </row>
    <row r="1885" spans="1:6">
      <c r="A1885" s="1" t="s">
        <v>5617</v>
      </c>
      <c r="B1885" s="4" t="s">
        <v>5618</v>
      </c>
      <c r="C1885" s="3" t="s">
        <v>5619</v>
      </c>
      <c r="D1885" s="5" t="s">
        <v>8</v>
      </c>
      <c r="E1885" s="6">
        <f>VALUE(53455)</f>
        <v>53455</v>
      </c>
      <c r="F1885" s="5" t="s">
        <v>10</v>
      </c>
    </row>
    <row r="1886" spans="1:6" ht="43.5">
      <c r="A1886" s="1" t="s">
        <v>5620</v>
      </c>
      <c r="B1886" s="4" t="s">
        <v>5621</v>
      </c>
      <c r="C1886" s="3" t="s">
        <v>5622</v>
      </c>
      <c r="D1886" s="5" t="s">
        <v>8</v>
      </c>
      <c r="E1886" s="6">
        <f>VALUE(71275)</f>
        <v>71275</v>
      </c>
      <c r="F1886" s="5" t="s">
        <v>10</v>
      </c>
    </row>
    <row r="1887" spans="1:6" ht="29">
      <c r="A1887" s="1" t="s">
        <v>5623</v>
      </c>
      <c r="B1887" s="4" t="s">
        <v>5624</v>
      </c>
      <c r="C1887" s="3" t="s">
        <v>5625</v>
      </c>
      <c r="D1887" s="5" t="s">
        <v>8</v>
      </c>
      <c r="E1887" s="6">
        <f>VALUE(32995)</f>
        <v>32995</v>
      </c>
      <c r="F1887" s="5" t="s">
        <v>10</v>
      </c>
    </row>
    <row r="1888" spans="1:6" ht="29">
      <c r="A1888" s="1" t="s">
        <v>5626</v>
      </c>
      <c r="B1888" s="4" t="s">
        <v>5627</v>
      </c>
      <c r="C1888" s="3" t="s">
        <v>5628</v>
      </c>
      <c r="D1888" s="5" t="s">
        <v>8</v>
      </c>
      <c r="E1888" s="6">
        <f>VALUE(13195)</f>
        <v>13195</v>
      </c>
      <c r="F1888" s="5" t="s">
        <v>10</v>
      </c>
    </row>
    <row r="1889" spans="1:6" ht="29">
      <c r="A1889" s="1" t="s">
        <v>5629</v>
      </c>
      <c r="B1889" s="4" t="s">
        <v>5630</v>
      </c>
      <c r="C1889" s="3" t="s">
        <v>5631</v>
      </c>
      <c r="D1889" s="5" t="s">
        <v>8</v>
      </c>
      <c r="E1889" s="6">
        <f>VALUE(10995)</f>
        <v>10995</v>
      </c>
      <c r="F1889" s="5" t="s">
        <v>10</v>
      </c>
    </row>
    <row r="1890" spans="1:6" ht="29">
      <c r="A1890" s="1" t="s">
        <v>5632</v>
      </c>
      <c r="B1890" s="4" t="s">
        <v>5633</v>
      </c>
      <c r="C1890" s="3" t="s">
        <v>5634</v>
      </c>
      <c r="D1890" s="5" t="s">
        <v>8</v>
      </c>
      <c r="E1890" s="6">
        <f>VALUE(43995)</f>
        <v>43995</v>
      </c>
      <c r="F1890" s="5" t="s">
        <v>10</v>
      </c>
    </row>
    <row r="1891" spans="1:6" ht="29">
      <c r="A1891" s="1" t="s">
        <v>5635</v>
      </c>
      <c r="B1891" s="4" t="s">
        <v>5636</v>
      </c>
      <c r="C1891" s="3" t="s">
        <v>5637</v>
      </c>
      <c r="D1891" s="5" t="s">
        <v>8</v>
      </c>
      <c r="E1891" s="6">
        <f>VALUE(32995)</f>
        <v>32995</v>
      </c>
      <c r="F1891" s="5" t="s">
        <v>10</v>
      </c>
    </row>
    <row r="1892" spans="1:6" ht="43.5">
      <c r="A1892" s="1" t="s">
        <v>5638</v>
      </c>
      <c r="B1892" s="4" t="s">
        <v>5639</v>
      </c>
      <c r="C1892" s="3" t="s">
        <v>5638</v>
      </c>
      <c r="D1892" s="5" t="s">
        <v>8</v>
      </c>
      <c r="E1892" s="6">
        <f>VALUE(19995)</f>
        <v>19995</v>
      </c>
      <c r="F1892" s="5" t="s">
        <v>10</v>
      </c>
    </row>
    <row r="1893" spans="1:6" ht="29">
      <c r="A1893" s="1" t="s">
        <v>5640</v>
      </c>
      <c r="B1893" s="4" t="s">
        <v>5641</v>
      </c>
      <c r="C1893" s="3" t="s">
        <v>5642</v>
      </c>
      <c r="D1893" s="5" t="s">
        <v>8</v>
      </c>
      <c r="E1893" s="6">
        <f>VALUE(32995)</f>
        <v>32995</v>
      </c>
      <c r="F1893" s="5" t="s">
        <v>10</v>
      </c>
    </row>
    <row r="1894" spans="1:6" ht="29">
      <c r="A1894" s="1" t="s">
        <v>5643</v>
      </c>
      <c r="B1894" s="4" t="s">
        <v>5644</v>
      </c>
      <c r="C1894" s="3" t="s">
        <v>5645</v>
      </c>
      <c r="D1894" s="5" t="s">
        <v>8</v>
      </c>
      <c r="E1894" s="6">
        <f>VALUE(39595)</f>
        <v>39595</v>
      </c>
      <c r="F1894" s="5" t="s">
        <v>10</v>
      </c>
    </row>
    <row r="1895" spans="1:6" ht="29">
      <c r="A1895" s="1" t="s">
        <v>5646</v>
      </c>
      <c r="B1895" s="4" t="s">
        <v>5647</v>
      </c>
      <c r="C1895" s="3" t="s">
        <v>5648</v>
      </c>
      <c r="D1895" s="5" t="s">
        <v>8</v>
      </c>
      <c r="E1895" s="6">
        <f>VALUE(87995)</f>
        <v>87995</v>
      </c>
      <c r="F1895" s="5" t="s">
        <v>10</v>
      </c>
    </row>
    <row r="1896" spans="1:6" ht="43.5">
      <c r="A1896" s="1" t="s">
        <v>5649</v>
      </c>
      <c r="B1896" s="4" t="s">
        <v>5650</v>
      </c>
      <c r="C1896" s="3" t="s">
        <v>5649</v>
      </c>
      <c r="D1896" s="5" t="s">
        <v>8</v>
      </c>
      <c r="E1896" s="6">
        <f>VALUE(7995)</f>
        <v>7995</v>
      </c>
      <c r="F1896" s="5" t="s">
        <v>10</v>
      </c>
    </row>
    <row r="1897" spans="1:6" ht="29">
      <c r="A1897" s="1" t="s">
        <v>5651</v>
      </c>
      <c r="B1897" s="4" t="s">
        <v>5652</v>
      </c>
      <c r="C1897" s="3" t="s">
        <v>5651</v>
      </c>
      <c r="D1897" s="5" t="s">
        <v>8</v>
      </c>
      <c r="E1897" s="6">
        <f>VALUE(1995)</f>
        <v>1995</v>
      </c>
      <c r="F1897" s="5" t="s">
        <v>9</v>
      </c>
    </row>
    <row r="1898" spans="1:6" ht="43.5">
      <c r="A1898" s="1" t="s">
        <v>5653</v>
      </c>
      <c r="B1898" s="4" t="s">
        <v>5654</v>
      </c>
      <c r="C1898" s="3" t="s">
        <v>5655</v>
      </c>
      <c r="D1898" s="5" t="s">
        <v>8</v>
      </c>
      <c r="E1898" s="6">
        <f>VALUE(2075)</f>
        <v>2075</v>
      </c>
      <c r="F1898" s="5" t="s">
        <v>9</v>
      </c>
    </row>
    <row r="1899" spans="1:6" ht="43.5">
      <c r="A1899" s="1" t="s">
        <v>5656</v>
      </c>
      <c r="B1899" s="4" t="s">
        <v>5657</v>
      </c>
      <c r="C1899" s="3" t="s">
        <v>5658</v>
      </c>
      <c r="D1899" s="5" t="s">
        <v>8</v>
      </c>
      <c r="E1899" s="6">
        <f>VALUE(10400)</f>
        <v>10400</v>
      </c>
      <c r="F1899" s="5" t="s">
        <v>9</v>
      </c>
    </row>
    <row r="1900" spans="1:6">
      <c r="A1900" s="1" t="s">
        <v>5659</v>
      </c>
      <c r="B1900" s="4" t="s">
        <v>5660</v>
      </c>
      <c r="C1900" s="3" t="s">
        <v>5659</v>
      </c>
      <c r="D1900" s="5" t="s">
        <v>8</v>
      </c>
      <c r="E1900" s="6">
        <f>VALUE(14995)</f>
        <v>14995</v>
      </c>
      <c r="F1900" s="5" t="s">
        <v>9</v>
      </c>
    </row>
    <row r="1901" spans="1:6">
      <c r="A1901" s="1" t="s">
        <v>5661</v>
      </c>
      <c r="B1901" s="4" t="s">
        <v>5662</v>
      </c>
      <c r="C1901" s="3" t="s">
        <v>5663</v>
      </c>
      <c r="D1901" s="5" t="s">
        <v>8</v>
      </c>
      <c r="E1901" s="6">
        <f>VALUE(595)</f>
        <v>595</v>
      </c>
      <c r="F1901" s="5" t="s">
        <v>9</v>
      </c>
    </row>
    <row r="1902" spans="1:6" ht="29">
      <c r="A1902" s="1" t="s">
        <v>5664</v>
      </c>
      <c r="B1902" s="4" t="s">
        <v>5665</v>
      </c>
      <c r="C1902" s="3" t="s">
        <v>5666</v>
      </c>
      <c r="D1902" s="5" t="s">
        <v>8</v>
      </c>
      <c r="E1902" s="6">
        <f>VALUE(16495)</f>
        <v>16495</v>
      </c>
      <c r="F1902" s="5" t="s">
        <v>9</v>
      </c>
    </row>
    <row r="1903" spans="1:6" ht="29">
      <c r="A1903" s="1" t="s">
        <v>5667</v>
      </c>
      <c r="B1903" s="4" t="s">
        <v>5668</v>
      </c>
      <c r="C1903" s="3" t="s">
        <v>5669</v>
      </c>
      <c r="D1903" s="5" t="s">
        <v>8</v>
      </c>
      <c r="E1903" s="6">
        <f>VALUE(6595)</f>
        <v>6595</v>
      </c>
      <c r="F1903" s="5" t="s">
        <v>9</v>
      </c>
    </row>
    <row r="1904" spans="1:6" ht="29">
      <c r="A1904" s="1" t="s">
        <v>5670</v>
      </c>
      <c r="B1904" s="4" t="s">
        <v>5671</v>
      </c>
      <c r="C1904" s="3" t="s">
        <v>5672</v>
      </c>
      <c r="D1904" s="5" t="s">
        <v>8</v>
      </c>
      <c r="E1904" s="6">
        <f>VALUE(71275)</f>
        <v>71275</v>
      </c>
      <c r="F1904" s="5" t="s">
        <v>9</v>
      </c>
    </row>
    <row r="1905" spans="1:6" ht="29">
      <c r="A1905" s="1" t="s">
        <v>5673</v>
      </c>
      <c r="B1905" s="4" t="s">
        <v>5674</v>
      </c>
      <c r="C1905" s="3" t="s">
        <v>5675</v>
      </c>
      <c r="D1905" s="5" t="s">
        <v>8</v>
      </c>
      <c r="E1905" s="6">
        <f>VALUE(49495)</f>
        <v>49495</v>
      </c>
      <c r="F1905" s="5" t="s">
        <v>9</v>
      </c>
    </row>
    <row r="1906" spans="1:6" ht="29">
      <c r="A1906" s="1" t="s">
        <v>5676</v>
      </c>
      <c r="B1906" s="4" t="s">
        <v>5677</v>
      </c>
      <c r="C1906" s="3" t="s">
        <v>5678</v>
      </c>
      <c r="D1906" s="5" t="s">
        <v>8</v>
      </c>
      <c r="E1906" s="6">
        <f>VALUE(71275)</f>
        <v>71275</v>
      </c>
      <c r="F1906" s="5" t="s">
        <v>9</v>
      </c>
    </row>
    <row r="1907" spans="1:6" ht="29">
      <c r="A1907" s="1" t="s">
        <v>5679</v>
      </c>
      <c r="B1907" s="4" t="s">
        <v>5680</v>
      </c>
      <c r="C1907" s="3" t="s">
        <v>5681</v>
      </c>
      <c r="D1907" s="5" t="s">
        <v>8</v>
      </c>
      <c r="E1907" s="6">
        <f>VALUE(73655)</f>
        <v>73655</v>
      </c>
      <c r="F1907" s="5" t="s">
        <v>9</v>
      </c>
    </row>
    <row r="1908" spans="1:6" ht="29">
      <c r="A1908" s="1" t="s">
        <v>5682</v>
      </c>
      <c r="B1908" s="4" t="s">
        <v>5683</v>
      </c>
      <c r="C1908" s="3" t="s">
        <v>5684</v>
      </c>
      <c r="D1908" s="5" t="s">
        <v>8</v>
      </c>
      <c r="E1908" s="6">
        <f>VALUE(95035)</f>
        <v>95035</v>
      </c>
      <c r="F1908" s="5" t="s">
        <v>9</v>
      </c>
    </row>
    <row r="1909" spans="1:6" ht="29">
      <c r="A1909" s="1" t="s">
        <v>5685</v>
      </c>
      <c r="B1909" s="4" t="s">
        <v>5686</v>
      </c>
      <c r="C1909" s="3" t="s">
        <v>5687</v>
      </c>
      <c r="D1909" s="5" t="s">
        <v>8</v>
      </c>
      <c r="E1909" s="6">
        <f>VALUE(41575)</f>
        <v>41575</v>
      </c>
      <c r="F1909" s="5" t="s">
        <v>9</v>
      </c>
    </row>
    <row r="1910" spans="1:6" ht="29">
      <c r="A1910" s="1" t="s">
        <v>5688</v>
      </c>
      <c r="B1910" s="4" t="s">
        <v>5689</v>
      </c>
      <c r="C1910" s="3" t="s">
        <v>5690</v>
      </c>
      <c r="D1910" s="5" t="s">
        <v>8</v>
      </c>
      <c r="E1910" s="6">
        <f>VALUE(42765)</f>
        <v>42765</v>
      </c>
      <c r="F1910" s="5" t="s">
        <v>9</v>
      </c>
    </row>
    <row r="1911" spans="1:6">
      <c r="A1911" s="1" t="s">
        <v>5691</v>
      </c>
      <c r="B1911" s="4" t="s">
        <v>5692</v>
      </c>
      <c r="C1911" s="3" t="s">
        <v>5693</v>
      </c>
      <c r="D1911" s="5" t="s">
        <v>8</v>
      </c>
      <c r="E1911" s="6">
        <f>VALUE(22005)</f>
        <v>22005</v>
      </c>
      <c r="F1911" s="5" t="s">
        <v>9</v>
      </c>
    </row>
    <row r="1912" spans="1:6" ht="29">
      <c r="A1912" s="1" t="s">
        <v>5694</v>
      </c>
      <c r="B1912" s="4" t="s">
        <v>5695</v>
      </c>
      <c r="C1912" s="3" t="s">
        <v>5696</v>
      </c>
      <c r="D1912" s="5" t="s">
        <v>8</v>
      </c>
      <c r="E1912" s="6">
        <f>VALUE(16495)</f>
        <v>16495</v>
      </c>
      <c r="F1912" s="5" t="s">
        <v>9</v>
      </c>
    </row>
    <row r="1913" spans="1:6" ht="29">
      <c r="A1913" s="1" t="s">
        <v>5697</v>
      </c>
      <c r="B1913" s="4" t="s">
        <v>5698</v>
      </c>
      <c r="C1913" s="3" t="s">
        <v>5699</v>
      </c>
      <c r="D1913" s="5" t="s">
        <v>8</v>
      </c>
      <c r="E1913" s="6">
        <f>VALUE(43995)</f>
        <v>43995</v>
      </c>
      <c r="F1913" s="5" t="s">
        <v>9</v>
      </c>
    </row>
    <row r="1914" spans="1:6">
      <c r="A1914" s="1" t="s">
        <v>5700</v>
      </c>
      <c r="B1914" s="4" t="s">
        <v>5701</v>
      </c>
      <c r="C1914" s="3" t="s">
        <v>5702</v>
      </c>
      <c r="D1914" s="5" t="s">
        <v>8</v>
      </c>
      <c r="E1914" s="6">
        <f>VALUE(1785)</f>
        <v>1785</v>
      </c>
      <c r="F1914" s="5" t="s">
        <v>9</v>
      </c>
    </row>
    <row r="1915" spans="1:6">
      <c r="A1915" s="1" t="s">
        <v>5703</v>
      </c>
      <c r="B1915" s="4" t="s">
        <v>5704</v>
      </c>
      <c r="C1915" s="3" t="s">
        <v>5705</v>
      </c>
      <c r="D1915" s="5" t="s">
        <v>8</v>
      </c>
      <c r="E1915" s="6">
        <f>VALUE(2615)</f>
        <v>2615</v>
      </c>
      <c r="F1915" s="5" t="s">
        <v>9</v>
      </c>
    </row>
    <row r="1916" spans="1:6" ht="29">
      <c r="A1916" s="1" t="s">
        <v>5706</v>
      </c>
      <c r="B1916" s="4" t="s">
        <v>5707</v>
      </c>
      <c r="C1916" s="3" t="s">
        <v>5708</v>
      </c>
      <c r="D1916" s="5" t="s">
        <v>9</v>
      </c>
      <c r="E1916" s="6">
        <f>VALUE(2500)</f>
        <v>2500</v>
      </c>
      <c r="F1916" s="5" t="s">
        <v>9</v>
      </c>
    </row>
    <row r="1917" spans="1:6" ht="101.5">
      <c r="A1917" s="1" t="s">
        <v>5709</v>
      </c>
      <c r="B1917" s="4" t="s">
        <v>5710</v>
      </c>
      <c r="C1917" s="3" t="s">
        <v>5711</v>
      </c>
      <c r="D1917" s="5" t="s">
        <v>8</v>
      </c>
      <c r="E1917" s="6">
        <f>VALUE(5000)</f>
        <v>5000</v>
      </c>
      <c r="F1917" s="5" t="s">
        <v>9</v>
      </c>
    </row>
    <row r="1918" spans="1:6" ht="29">
      <c r="A1918" s="1" t="s">
        <v>5712</v>
      </c>
      <c r="B1918" s="4" t="s">
        <v>5713</v>
      </c>
      <c r="C1918" s="3" t="s">
        <v>5714</v>
      </c>
      <c r="D1918" s="5" t="s">
        <v>9</v>
      </c>
      <c r="E1918" s="6">
        <f>VALUE(6000)</f>
        <v>6000</v>
      </c>
      <c r="F1918" s="5" t="s">
        <v>9</v>
      </c>
    </row>
    <row r="1919" spans="1:6" ht="29">
      <c r="A1919" s="1" t="s">
        <v>5715</v>
      </c>
      <c r="B1919" s="4" t="s">
        <v>5716</v>
      </c>
      <c r="C1919" s="3" t="s">
        <v>5717</v>
      </c>
      <c r="D1919" s="5" t="s">
        <v>9</v>
      </c>
      <c r="E1919" s="6">
        <f>VALUE(8500)</f>
        <v>8500</v>
      </c>
      <c r="F1919" s="5" t="s">
        <v>9</v>
      </c>
    </row>
    <row r="1920" spans="1:6" ht="29">
      <c r="A1920" s="1" t="s">
        <v>5718</v>
      </c>
      <c r="B1920" s="4" t="s">
        <v>5719</v>
      </c>
      <c r="C1920" s="3" t="s">
        <v>5720</v>
      </c>
      <c r="D1920" s="5" t="s">
        <v>9</v>
      </c>
      <c r="E1920" s="6">
        <f>VALUE(10500)</f>
        <v>10500</v>
      </c>
      <c r="F1920" s="5" t="s">
        <v>9</v>
      </c>
    </row>
    <row r="1921" spans="1:6" ht="29">
      <c r="A1921" s="1" t="s">
        <v>5721</v>
      </c>
      <c r="B1921" s="4" t="s">
        <v>5722</v>
      </c>
      <c r="C1921" s="3" t="s">
        <v>5723</v>
      </c>
      <c r="D1921" s="5" t="s">
        <v>9</v>
      </c>
      <c r="E1921" s="6">
        <f>VALUE(15000)</f>
        <v>15000</v>
      </c>
      <c r="F1921" s="5" t="s">
        <v>9</v>
      </c>
    </row>
    <row r="1922" spans="1:6" ht="87">
      <c r="A1922" s="1" t="s">
        <v>5724</v>
      </c>
      <c r="B1922" s="4" t="s">
        <v>5725</v>
      </c>
      <c r="C1922" s="3" t="s">
        <v>5726</v>
      </c>
      <c r="D1922" s="5" t="s">
        <v>8</v>
      </c>
      <c r="E1922" s="6">
        <f>VALUE(2800)</f>
        <v>2800</v>
      </c>
      <c r="F1922" s="5" t="s">
        <v>9</v>
      </c>
    </row>
    <row r="1923" spans="1:6" ht="87">
      <c r="A1923" s="1" t="s">
        <v>5727</v>
      </c>
      <c r="B1923" s="4" t="s">
        <v>5728</v>
      </c>
      <c r="C1923" s="3" t="s">
        <v>5729</v>
      </c>
      <c r="D1923" s="5" t="s">
        <v>8</v>
      </c>
      <c r="E1923" s="6">
        <f>VALUE(2200)</f>
        <v>2200</v>
      </c>
      <c r="F1923" s="5" t="s">
        <v>9</v>
      </c>
    </row>
    <row r="1924" spans="1:6" ht="72.5">
      <c r="A1924" s="1" t="s">
        <v>5730</v>
      </c>
      <c r="B1924" s="4" t="s">
        <v>5731</v>
      </c>
      <c r="C1924" s="3" t="s">
        <v>5732</v>
      </c>
      <c r="D1924" s="5" t="s">
        <v>8</v>
      </c>
      <c r="E1924" s="6">
        <f>VALUE(330000)</f>
        <v>330000</v>
      </c>
      <c r="F1924" s="5" t="s">
        <v>9</v>
      </c>
    </row>
    <row r="1925" spans="1:6" ht="58">
      <c r="A1925" s="1" t="s">
        <v>5733</v>
      </c>
      <c r="B1925" s="4" t="s">
        <v>5734</v>
      </c>
      <c r="C1925" s="3" t="s">
        <v>5735</v>
      </c>
      <c r="D1925" s="5" t="s">
        <v>8</v>
      </c>
      <c r="E1925" s="6">
        <f>VALUE(60000)</f>
        <v>60000</v>
      </c>
      <c r="F1925" s="5" t="s">
        <v>9</v>
      </c>
    </row>
    <row r="1926" spans="1:6" ht="72.5">
      <c r="A1926" s="1" t="s">
        <v>5736</v>
      </c>
      <c r="B1926" s="4" t="s">
        <v>5737</v>
      </c>
      <c r="C1926" s="3" t="s">
        <v>5738</v>
      </c>
      <c r="D1926" s="5" t="s">
        <v>8</v>
      </c>
      <c r="E1926" s="6">
        <f>VALUE(150000)</f>
        <v>150000</v>
      </c>
      <c r="F1926" s="5" t="s">
        <v>9</v>
      </c>
    </row>
    <row r="1927" spans="1:6" ht="58">
      <c r="A1927" s="1" t="s">
        <v>5739</v>
      </c>
      <c r="B1927" s="4" t="s">
        <v>5740</v>
      </c>
      <c r="C1927" s="3" t="s">
        <v>5741</v>
      </c>
      <c r="D1927" s="5" t="s">
        <v>8</v>
      </c>
      <c r="E1927" s="6">
        <f>VALUE(240000)</f>
        <v>240000</v>
      </c>
      <c r="F1927" s="5" t="s">
        <v>9</v>
      </c>
    </row>
    <row r="1928" spans="1:6" ht="58">
      <c r="A1928" s="1" t="s">
        <v>5742</v>
      </c>
      <c r="B1928" s="4" t="s">
        <v>5743</v>
      </c>
      <c r="C1928" s="3" t="s">
        <v>5744</v>
      </c>
      <c r="D1928" s="5" t="s">
        <v>8</v>
      </c>
      <c r="E1928" s="6">
        <f>VALUE(300000)</f>
        <v>300000</v>
      </c>
      <c r="F1928" s="5" t="s">
        <v>9</v>
      </c>
    </row>
    <row r="1929" spans="1:6" ht="72.5">
      <c r="A1929" s="1" t="s">
        <v>5745</v>
      </c>
      <c r="B1929" s="4" t="s">
        <v>5746</v>
      </c>
      <c r="C1929" s="3" t="s">
        <v>5747</v>
      </c>
      <c r="D1929" s="5" t="s">
        <v>8</v>
      </c>
      <c r="E1929" s="6">
        <f>VALUE(305000)</f>
        <v>305000</v>
      </c>
      <c r="F1929" s="5" t="s">
        <v>9</v>
      </c>
    </row>
    <row r="1930" spans="1:6" ht="58">
      <c r="A1930" s="1" t="s">
        <v>5748</v>
      </c>
      <c r="B1930" s="4" t="s">
        <v>5749</v>
      </c>
      <c r="C1930" s="3" t="s">
        <v>5750</v>
      </c>
      <c r="D1930" s="5" t="s">
        <v>8</v>
      </c>
      <c r="E1930" s="6">
        <f>VALUE(28000)</f>
        <v>28000</v>
      </c>
      <c r="F1930" s="5" t="s">
        <v>9</v>
      </c>
    </row>
    <row r="1931" spans="1:6" ht="72.5">
      <c r="A1931" s="1" t="s">
        <v>5751</v>
      </c>
      <c r="B1931" s="4" t="s">
        <v>5752</v>
      </c>
      <c r="C1931" s="3" t="s">
        <v>5753</v>
      </c>
      <c r="D1931" s="5" t="s">
        <v>8</v>
      </c>
      <c r="E1931" s="6">
        <f>VALUE(110000)</f>
        <v>110000</v>
      </c>
      <c r="F1931" s="5" t="s">
        <v>9</v>
      </c>
    </row>
    <row r="1932" spans="1:6" ht="72.5">
      <c r="A1932" s="1" t="s">
        <v>5754</v>
      </c>
      <c r="B1932" s="4" t="s">
        <v>5755</v>
      </c>
      <c r="C1932" s="3" t="s">
        <v>5756</v>
      </c>
      <c r="D1932" s="5" t="s">
        <v>8</v>
      </c>
      <c r="E1932" s="6">
        <f>VALUE(195000)</f>
        <v>195000</v>
      </c>
      <c r="F1932" s="5" t="s">
        <v>9</v>
      </c>
    </row>
    <row r="1933" spans="1:6" ht="72.5">
      <c r="A1933" s="1" t="s">
        <v>5757</v>
      </c>
      <c r="B1933" s="4" t="s">
        <v>5758</v>
      </c>
      <c r="C1933" s="3" t="s">
        <v>5759</v>
      </c>
      <c r="D1933" s="5" t="s">
        <v>8</v>
      </c>
      <c r="E1933" s="6">
        <f>VALUE(250000)</f>
        <v>250000</v>
      </c>
      <c r="F1933" s="5" t="s">
        <v>9</v>
      </c>
    </row>
    <row r="1934" spans="1:6" ht="87">
      <c r="A1934" s="1" t="s">
        <v>5760</v>
      </c>
      <c r="B1934" s="4" t="s">
        <v>5761</v>
      </c>
      <c r="C1934" s="3" t="s">
        <v>5762</v>
      </c>
      <c r="D1934" s="5" t="s">
        <v>8</v>
      </c>
      <c r="E1934" s="6">
        <f>VALUE(3300)</f>
        <v>3300</v>
      </c>
      <c r="F1934" s="5" t="s">
        <v>9</v>
      </c>
    </row>
    <row r="1935" spans="1:6" ht="87">
      <c r="A1935" s="1" t="s">
        <v>5763</v>
      </c>
      <c r="B1935" s="4" t="s">
        <v>5764</v>
      </c>
      <c r="C1935" s="3" t="s">
        <v>5765</v>
      </c>
      <c r="D1935" s="5" t="s">
        <v>8</v>
      </c>
      <c r="E1935" s="6">
        <f>VALUE(5000)</f>
        <v>5000</v>
      </c>
      <c r="F1935" s="5" t="s">
        <v>9</v>
      </c>
    </row>
    <row r="1936" spans="1:6" ht="87">
      <c r="A1936" s="1" t="s">
        <v>5766</v>
      </c>
      <c r="B1936" s="4" t="s">
        <v>5767</v>
      </c>
      <c r="C1936" s="3" t="s">
        <v>5768</v>
      </c>
      <c r="D1936" s="5" t="s">
        <v>8</v>
      </c>
      <c r="E1936" s="6">
        <f>VALUE(3300)</f>
        <v>3300</v>
      </c>
      <c r="F1936" s="5" t="s">
        <v>9</v>
      </c>
    </row>
    <row r="1937" spans="1:6" ht="87">
      <c r="A1937" s="1" t="s">
        <v>5769</v>
      </c>
      <c r="B1937" s="4" t="s">
        <v>5770</v>
      </c>
      <c r="C1937" s="3" t="s">
        <v>5771</v>
      </c>
      <c r="D1937" s="5" t="s">
        <v>8</v>
      </c>
      <c r="E1937" s="6">
        <f>VALUE(5000)</f>
        <v>5000</v>
      </c>
      <c r="F1937" s="5" t="s">
        <v>9</v>
      </c>
    </row>
    <row r="1938" spans="1:6" ht="43.5">
      <c r="A1938" s="1" t="s">
        <v>5772</v>
      </c>
      <c r="B1938" s="4" t="s">
        <v>5773</v>
      </c>
      <c r="C1938" s="3" t="s">
        <v>5774</v>
      </c>
      <c r="D1938" s="5" t="s">
        <v>8</v>
      </c>
      <c r="E1938" s="6">
        <f>VALUE(1400)</f>
        <v>1400</v>
      </c>
      <c r="F1938" s="5" t="s">
        <v>9</v>
      </c>
    </row>
    <row r="1939" spans="1:6" ht="29">
      <c r="A1939" s="1" t="s">
        <v>5775</v>
      </c>
      <c r="B1939" s="4" t="s">
        <v>5776</v>
      </c>
      <c r="C1939" s="3" t="s">
        <v>5777</v>
      </c>
      <c r="D1939" s="5" t="s">
        <v>9</v>
      </c>
      <c r="E1939" s="6">
        <f>VALUE(1995)</f>
        <v>1995</v>
      </c>
      <c r="F1939" s="5" t="s">
        <v>9</v>
      </c>
    </row>
    <row r="1940" spans="1:6" ht="29">
      <c r="A1940" s="1" t="s">
        <v>5778</v>
      </c>
      <c r="B1940" s="4" t="s">
        <v>5779</v>
      </c>
      <c r="C1940" s="3" t="s">
        <v>5780</v>
      </c>
      <c r="D1940" s="5" t="s">
        <v>8</v>
      </c>
      <c r="E1940" s="6">
        <f>VALUE(1995)</f>
        <v>1995</v>
      </c>
      <c r="F1940" s="5" t="s">
        <v>9</v>
      </c>
    </row>
    <row r="1941" spans="1:6" ht="29">
      <c r="A1941" s="1" t="s">
        <v>5781</v>
      </c>
      <c r="B1941" s="4" t="s">
        <v>5782</v>
      </c>
      <c r="C1941" s="3" t="s">
        <v>5783</v>
      </c>
      <c r="D1941" s="5" t="s">
        <v>9</v>
      </c>
      <c r="E1941" s="6">
        <f>VALUE(3995)</f>
        <v>3995</v>
      </c>
      <c r="F1941" s="5" t="s">
        <v>9</v>
      </c>
    </row>
    <row r="1942" spans="1:6" ht="29">
      <c r="A1942" s="1" t="s">
        <v>5784</v>
      </c>
      <c r="B1942" s="4" t="s">
        <v>5785</v>
      </c>
      <c r="C1942" s="3" t="s">
        <v>5786</v>
      </c>
      <c r="D1942" s="5" t="s">
        <v>8</v>
      </c>
      <c r="E1942" s="6">
        <f>VALUE(15500)</f>
        <v>15500</v>
      </c>
      <c r="F1942" s="5" t="s">
        <v>9</v>
      </c>
    </row>
    <row r="1943" spans="1:6" ht="29">
      <c r="A1943" s="1" t="s">
        <v>5787</v>
      </c>
      <c r="B1943" s="4" t="s">
        <v>5788</v>
      </c>
      <c r="C1943" s="3" t="s">
        <v>5789</v>
      </c>
      <c r="D1943" s="5" t="s">
        <v>8</v>
      </c>
      <c r="E1943" s="6">
        <f>VALUE(21500)</f>
        <v>21500</v>
      </c>
      <c r="F1943" s="5" t="s">
        <v>9</v>
      </c>
    </row>
    <row r="1944" spans="1:6" ht="29">
      <c r="A1944" s="1" t="s">
        <v>5790</v>
      </c>
      <c r="B1944" s="4" t="s">
        <v>5791</v>
      </c>
      <c r="C1944" s="3" t="s">
        <v>5792</v>
      </c>
      <c r="D1944" s="5" t="s">
        <v>8</v>
      </c>
      <c r="E1944" s="6">
        <f>VALUE(27500)</f>
        <v>27500</v>
      </c>
      <c r="F1944" s="5" t="s">
        <v>9</v>
      </c>
    </row>
    <row r="1945" spans="1:6" ht="29">
      <c r="A1945" s="1" t="s">
        <v>5793</v>
      </c>
      <c r="B1945" s="4" t="s">
        <v>5794</v>
      </c>
      <c r="C1945" s="3" t="s">
        <v>5795</v>
      </c>
      <c r="D1945" s="5" t="s">
        <v>8</v>
      </c>
      <c r="E1945" s="6">
        <f>VALUE(33000)</f>
        <v>33000</v>
      </c>
      <c r="F1945" s="5" t="s">
        <v>9</v>
      </c>
    </row>
    <row r="1946" spans="1:6" ht="29">
      <c r="A1946" s="1" t="s">
        <v>5796</v>
      </c>
      <c r="B1946" s="4" t="s">
        <v>5797</v>
      </c>
      <c r="C1946" s="3" t="s">
        <v>5798</v>
      </c>
      <c r="D1946" s="5" t="s">
        <v>9</v>
      </c>
      <c r="E1946" s="6">
        <f>VALUE(250)</f>
        <v>250</v>
      </c>
      <c r="F1946" s="5" t="s">
        <v>9</v>
      </c>
    </row>
    <row r="1947" spans="1:6" ht="29">
      <c r="A1947" s="1" t="s">
        <v>5799</v>
      </c>
      <c r="B1947" s="4" t="s">
        <v>5800</v>
      </c>
      <c r="C1947" s="3" t="s">
        <v>5801</v>
      </c>
      <c r="D1947" s="5" t="s">
        <v>8</v>
      </c>
      <c r="E1947" s="6">
        <f>VALUE(1000)</f>
        <v>1000</v>
      </c>
      <c r="F1947" s="5" t="s">
        <v>9</v>
      </c>
    </row>
    <row r="1948" spans="1:6" ht="29">
      <c r="A1948" s="1" t="s">
        <v>5802</v>
      </c>
      <c r="B1948" s="4" t="s">
        <v>5803</v>
      </c>
      <c r="C1948" s="3" t="s">
        <v>5804</v>
      </c>
      <c r="D1948" s="5" t="s">
        <v>8</v>
      </c>
      <c r="E1948" s="6">
        <f>VALUE(1600)</f>
        <v>1600</v>
      </c>
      <c r="F1948" s="5" t="s">
        <v>9</v>
      </c>
    </row>
    <row r="1949" spans="1:6" ht="29">
      <c r="A1949" s="1" t="s">
        <v>5805</v>
      </c>
      <c r="B1949" s="4" t="s">
        <v>5806</v>
      </c>
      <c r="C1949" s="3" t="s">
        <v>5807</v>
      </c>
      <c r="D1949" s="5" t="s">
        <v>8</v>
      </c>
      <c r="E1949" s="6">
        <f>VALUE(7000)</f>
        <v>7000</v>
      </c>
      <c r="F1949" s="5" t="s">
        <v>9</v>
      </c>
    </row>
    <row r="1950" spans="1:6" ht="29">
      <c r="A1950" s="1" t="s">
        <v>5808</v>
      </c>
      <c r="B1950" s="4" t="s">
        <v>5809</v>
      </c>
      <c r="C1950" s="3" t="s">
        <v>5810</v>
      </c>
      <c r="D1950" s="5" t="s">
        <v>8</v>
      </c>
      <c r="E1950" s="6">
        <f>VALUE(13500)</f>
        <v>13500</v>
      </c>
      <c r="F1950" s="5" t="s">
        <v>9</v>
      </c>
    </row>
    <row r="1951" spans="1:6" ht="29">
      <c r="A1951" s="1" t="s">
        <v>5811</v>
      </c>
      <c r="B1951" s="4" t="s">
        <v>5812</v>
      </c>
      <c r="C1951" s="3" t="s">
        <v>5813</v>
      </c>
      <c r="D1951" s="5" t="s">
        <v>8</v>
      </c>
      <c r="E1951" s="6">
        <f>VALUE(19500)</f>
        <v>19500</v>
      </c>
      <c r="F1951" s="5" t="s">
        <v>9</v>
      </c>
    </row>
    <row r="1952" spans="1:6" ht="29">
      <c r="A1952" s="1" t="s">
        <v>5814</v>
      </c>
      <c r="B1952" s="4" t="s">
        <v>5815</v>
      </c>
      <c r="C1952" s="3" t="s">
        <v>5816</v>
      </c>
      <c r="D1952" s="5" t="s">
        <v>8</v>
      </c>
      <c r="E1952" s="6">
        <f>VALUE(25500)</f>
        <v>25500</v>
      </c>
      <c r="F1952" s="5" t="s">
        <v>9</v>
      </c>
    </row>
    <row r="1953" spans="1:6" ht="29">
      <c r="A1953" s="1" t="s">
        <v>5817</v>
      </c>
      <c r="B1953" s="4" t="s">
        <v>5818</v>
      </c>
      <c r="C1953" s="3" t="s">
        <v>5819</v>
      </c>
      <c r="D1953" s="5" t="s">
        <v>8</v>
      </c>
      <c r="E1953" s="6">
        <f>VALUE(31000)</f>
        <v>31000</v>
      </c>
      <c r="F1953" s="5" t="s">
        <v>9</v>
      </c>
    </row>
    <row r="1954" spans="1:6">
      <c r="A1954" s="1" t="s">
        <v>5820</v>
      </c>
      <c r="B1954" s="4" t="s">
        <v>5821</v>
      </c>
      <c r="C1954" s="3" t="s">
        <v>5822</v>
      </c>
      <c r="D1954" s="5" t="s">
        <v>8</v>
      </c>
      <c r="E1954" s="6">
        <f>VALUE(5495)</f>
        <v>5495</v>
      </c>
      <c r="F1954" s="5" t="s">
        <v>9</v>
      </c>
    </row>
    <row r="1955" spans="1:6">
      <c r="A1955" s="1" t="s">
        <v>5823</v>
      </c>
      <c r="B1955" s="4" t="s">
        <v>5824</v>
      </c>
      <c r="C1955" s="3" t="s">
        <v>5825</v>
      </c>
      <c r="D1955" s="5" t="s">
        <v>8</v>
      </c>
      <c r="E1955" s="6">
        <f>VALUE(47515)</f>
        <v>47515</v>
      </c>
      <c r="F1955" s="5" t="s">
        <v>9</v>
      </c>
    </row>
    <row r="1956" spans="1:6" ht="29">
      <c r="A1956" s="1" t="s">
        <v>5826</v>
      </c>
      <c r="B1956" s="4" t="s">
        <v>5827</v>
      </c>
      <c r="C1956" s="3" t="s">
        <v>5828</v>
      </c>
      <c r="D1956" s="5" t="s">
        <v>8</v>
      </c>
      <c r="E1956" s="6">
        <f>VALUE(87995)</f>
        <v>87995</v>
      </c>
      <c r="F1956" s="5" t="s">
        <v>9</v>
      </c>
    </row>
    <row r="1957" spans="1:6">
      <c r="A1957" s="1" t="s">
        <v>5829</v>
      </c>
      <c r="B1957" s="4" t="s">
        <v>5830</v>
      </c>
      <c r="C1957" s="3" t="s">
        <v>5831</v>
      </c>
      <c r="D1957" s="5" t="s">
        <v>8</v>
      </c>
      <c r="E1957" s="6">
        <f>VALUE(445)</f>
        <v>445</v>
      </c>
      <c r="F1957" s="5" t="s">
        <v>9</v>
      </c>
    </row>
    <row r="1958" spans="1:6">
      <c r="A1958" s="1" t="s">
        <v>5832</v>
      </c>
      <c r="B1958" s="4" t="s">
        <v>5833</v>
      </c>
      <c r="C1958" s="3" t="s">
        <v>5832</v>
      </c>
      <c r="D1958" s="5" t="s">
        <v>8</v>
      </c>
      <c r="E1958" s="6">
        <f>VALUE(22495)</f>
        <v>22495</v>
      </c>
      <c r="F1958" s="5" t="s">
        <v>9</v>
      </c>
    </row>
    <row r="1959" spans="1:6">
      <c r="A1959" s="1" t="s">
        <v>5834</v>
      </c>
      <c r="B1959" s="4" t="s">
        <v>5835</v>
      </c>
      <c r="C1959" s="3" t="s">
        <v>5834</v>
      </c>
      <c r="D1959" s="5" t="s">
        <v>8</v>
      </c>
      <c r="E1959" s="6">
        <f>VALUE(4995)</f>
        <v>4995</v>
      </c>
      <c r="F1959" s="5" t="s">
        <v>9</v>
      </c>
    </row>
    <row r="1960" spans="1:6">
      <c r="A1960" s="1" t="s">
        <v>5836</v>
      </c>
      <c r="B1960" s="4" t="s">
        <v>5837</v>
      </c>
      <c r="C1960" s="3" t="s">
        <v>5838</v>
      </c>
      <c r="D1960" s="5" t="s">
        <v>8</v>
      </c>
      <c r="E1960" s="6">
        <f>VALUE(3595)</f>
        <v>3595</v>
      </c>
      <c r="F1960" s="5" t="s">
        <v>9</v>
      </c>
    </row>
    <row r="1961" spans="1:6">
      <c r="A1961" s="1" t="s">
        <v>5839</v>
      </c>
      <c r="B1961" s="4" t="s">
        <v>5840</v>
      </c>
      <c r="C1961" s="3" t="s">
        <v>5839</v>
      </c>
      <c r="D1961" s="5" t="s">
        <v>8</v>
      </c>
      <c r="E1961" s="6">
        <f>VALUE(2995)</f>
        <v>2995</v>
      </c>
      <c r="F1961" s="5" t="s">
        <v>9</v>
      </c>
    </row>
    <row r="1962" spans="1:6">
      <c r="A1962" s="1" t="s">
        <v>5841</v>
      </c>
      <c r="B1962" s="4" t="s">
        <v>5842</v>
      </c>
      <c r="C1962" s="3" t="s">
        <v>5841</v>
      </c>
      <c r="D1962" s="5" t="s">
        <v>8</v>
      </c>
      <c r="E1962" s="6">
        <f>VALUE(695)</f>
        <v>695</v>
      </c>
      <c r="F1962" s="5" t="s">
        <v>9</v>
      </c>
    </row>
    <row r="1963" spans="1:6">
      <c r="A1963" s="1" t="s">
        <v>5843</v>
      </c>
      <c r="B1963" s="4" t="s">
        <v>5844</v>
      </c>
      <c r="C1963" s="3" t="s">
        <v>5843</v>
      </c>
      <c r="D1963" s="5" t="s">
        <v>8</v>
      </c>
      <c r="E1963" s="6">
        <f>VALUE(795)</f>
        <v>795</v>
      </c>
      <c r="F1963" s="5" t="s">
        <v>9</v>
      </c>
    </row>
    <row r="1964" spans="1:6">
      <c r="A1964" s="1" t="s">
        <v>5845</v>
      </c>
      <c r="B1964" s="4" t="s">
        <v>5846</v>
      </c>
      <c r="C1964" s="3" t="s">
        <v>5845</v>
      </c>
      <c r="D1964" s="5" t="s">
        <v>8</v>
      </c>
      <c r="E1964" s="6">
        <f>VALUE(1595)</f>
        <v>1595</v>
      </c>
      <c r="F1964" s="5" t="s">
        <v>9</v>
      </c>
    </row>
    <row r="1965" spans="1:6" ht="29">
      <c r="A1965" s="1" t="s">
        <v>5847</v>
      </c>
      <c r="B1965" s="4" t="s">
        <v>5848</v>
      </c>
      <c r="C1965" s="3" t="s">
        <v>5849</v>
      </c>
      <c r="D1965" s="5" t="s">
        <v>8</v>
      </c>
      <c r="E1965" s="6">
        <f>VALUE(25)</f>
        <v>25</v>
      </c>
      <c r="F1965" s="5" t="s">
        <v>9</v>
      </c>
    </row>
    <row r="1966" spans="1:6" ht="29">
      <c r="A1966" s="1" t="s">
        <v>5850</v>
      </c>
      <c r="B1966" s="4" t="s">
        <v>5851</v>
      </c>
      <c r="C1966" s="3" t="s">
        <v>5852</v>
      </c>
      <c r="D1966" s="5" t="s">
        <v>8</v>
      </c>
      <c r="E1966" s="6">
        <f>VALUE(25)</f>
        <v>25</v>
      </c>
      <c r="F1966" s="5" t="s">
        <v>9</v>
      </c>
    </row>
    <row r="1967" spans="1:6" ht="29">
      <c r="A1967" s="1" t="s">
        <v>5853</v>
      </c>
      <c r="B1967" s="4" t="s">
        <v>5854</v>
      </c>
      <c r="C1967" s="3" t="s">
        <v>5855</v>
      </c>
      <c r="D1967" s="5" t="s">
        <v>8</v>
      </c>
      <c r="E1967" s="6">
        <f>VALUE(25)</f>
        <v>25</v>
      </c>
      <c r="F1967" s="5" t="s">
        <v>9</v>
      </c>
    </row>
    <row r="1968" spans="1:6">
      <c r="A1968" s="1" t="s">
        <v>5856</v>
      </c>
      <c r="B1968" s="4" t="s">
        <v>5857</v>
      </c>
      <c r="C1968" s="3" t="s">
        <v>5858</v>
      </c>
      <c r="D1968" s="5" t="s">
        <v>8</v>
      </c>
      <c r="E1968" s="6">
        <f>VALUE(11875)</f>
        <v>11875</v>
      </c>
      <c r="F1968" s="5" t="s">
        <v>9</v>
      </c>
    </row>
    <row r="1969" spans="1:6" ht="29">
      <c r="A1969" s="1" t="s">
        <v>5859</v>
      </c>
      <c r="B1969" s="4" t="s">
        <v>5860</v>
      </c>
      <c r="C1969" s="3" t="s">
        <v>5861</v>
      </c>
      <c r="D1969" s="5" t="s">
        <v>8</v>
      </c>
      <c r="E1969" s="6">
        <f>VALUE(89095)</f>
        <v>89095</v>
      </c>
      <c r="F1969" s="5" t="s">
        <v>9</v>
      </c>
    </row>
    <row r="1970" spans="1:6" ht="29">
      <c r="A1970" s="1" t="s">
        <v>5862</v>
      </c>
      <c r="B1970" s="4" t="s">
        <v>5863</v>
      </c>
      <c r="C1970" s="3" t="s">
        <v>5864</v>
      </c>
      <c r="D1970" s="5" t="s">
        <v>8</v>
      </c>
      <c r="E1970" s="6">
        <f>VALUE(89095)</f>
        <v>89095</v>
      </c>
      <c r="F1970" s="5" t="s">
        <v>9</v>
      </c>
    </row>
    <row r="1971" spans="1:6" ht="43.5">
      <c r="A1971" s="1" t="s">
        <v>5865</v>
      </c>
      <c r="B1971" s="4" t="s">
        <v>5866</v>
      </c>
      <c r="C1971" s="3" t="s">
        <v>5867</v>
      </c>
      <c r="D1971" s="5" t="s">
        <v>8</v>
      </c>
      <c r="E1971" s="6">
        <f>VALUE(4755)</f>
        <v>4755</v>
      </c>
      <c r="F1971" s="5" t="s">
        <v>9</v>
      </c>
    </row>
    <row r="1972" spans="1:6" ht="43.5">
      <c r="A1972" s="1" t="s">
        <v>5868</v>
      </c>
      <c r="B1972" s="4" t="s">
        <v>5869</v>
      </c>
      <c r="C1972" s="3" t="s">
        <v>5870</v>
      </c>
      <c r="D1972" s="5" t="s">
        <v>8</v>
      </c>
      <c r="E1972" s="6">
        <f>VALUE(4745)</f>
        <v>4745</v>
      </c>
      <c r="F1972" s="5" t="s">
        <v>9</v>
      </c>
    </row>
    <row r="1973" spans="1:6" ht="43.5">
      <c r="A1973" s="1" t="s">
        <v>5871</v>
      </c>
      <c r="B1973" s="4" t="s">
        <v>5872</v>
      </c>
      <c r="C1973" s="3" t="s">
        <v>5873</v>
      </c>
      <c r="D1973" s="5" t="s">
        <v>8</v>
      </c>
      <c r="E1973" s="6">
        <f>VALUE(3925)</f>
        <v>3925</v>
      </c>
      <c r="F1973" s="5" t="s">
        <v>9</v>
      </c>
    </row>
    <row r="1974" spans="1:6" ht="43.5">
      <c r="A1974" s="1" t="s">
        <v>5874</v>
      </c>
      <c r="B1974" s="4" t="s">
        <v>5875</v>
      </c>
      <c r="C1974" s="3" t="s">
        <v>5876</v>
      </c>
      <c r="D1974" s="5" t="s">
        <v>8</v>
      </c>
      <c r="E1974" s="6">
        <f>VALUE(3925)</f>
        <v>3925</v>
      </c>
      <c r="F1974" s="5" t="s">
        <v>9</v>
      </c>
    </row>
    <row r="1975" spans="1:6" ht="29">
      <c r="A1975" s="1" t="s">
        <v>5877</v>
      </c>
      <c r="B1975" s="4" t="s">
        <v>5878</v>
      </c>
      <c r="C1975" s="3" t="s">
        <v>5877</v>
      </c>
      <c r="D1975" s="5" t="s">
        <v>8</v>
      </c>
      <c r="E1975" s="6">
        <f>VALUE(4995)</f>
        <v>4995</v>
      </c>
      <c r="F1975" s="5" t="s">
        <v>9</v>
      </c>
    </row>
    <row r="1976" spans="1:6" ht="43.5">
      <c r="A1976" s="1" t="s">
        <v>5879</v>
      </c>
      <c r="B1976" s="4" t="s">
        <v>5880</v>
      </c>
      <c r="C1976" s="3" t="s">
        <v>5881</v>
      </c>
      <c r="D1976" s="5" t="s">
        <v>8</v>
      </c>
      <c r="E1976" s="6">
        <f>VALUE(675)</f>
        <v>675</v>
      </c>
      <c r="F1976" s="5" t="s">
        <v>9</v>
      </c>
    </row>
    <row r="1977" spans="1:6" ht="43.5">
      <c r="A1977" s="1" t="s">
        <v>5882</v>
      </c>
      <c r="B1977" s="4" t="s">
        <v>5883</v>
      </c>
      <c r="C1977" s="3" t="s">
        <v>5884</v>
      </c>
      <c r="D1977" s="5" t="s">
        <v>8</v>
      </c>
      <c r="E1977" s="6">
        <f>VALUE(1355)</f>
        <v>1355</v>
      </c>
      <c r="F1977" s="5" t="s">
        <v>9</v>
      </c>
    </row>
    <row r="1978" spans="1:6" ht="43.5">
      <c r="A1978" s="1" t="s">
        <v>5885</v>
      </c>
      <c r="B1978" s="4" t="s">
        <v>5886</v>
      </c>
      <c r="C1978" s="3" t="s">
        <v>5887</v>
      </c>
      <c r="D1978" s="5" t="s">
        <v>8</v>
      </c>
      <c r="E1978" s="6">
        <f>VALUE(3115)</f>
        <v>3115</v>
      </c>
      <c r="F1978" s="5" t="s">
        <v>9</v>
      </c>
    </row>
    <row r="1979" spans="1:6" ht="58">
      <c r="A1979" s="1" t="s">
        <v>5888</v>
      </c>
      <c r="B1979" s="4" t="s">
        <v>5889</v>
      </c>
      <c r="C1979" s="3" t="s">
        <v>5890</v>
      </c>
      <c r="D1979" s="5" t="s">
        <v>8</v>
      </c>
      <c r="E1979" s="6">
        <f>VALUE(12000)</f>
        <v>12000</v>
      </c>
      <c r="F1979" s="5" t="s">
        <v>9</v>
      </c>
    </row>
    <row r="1980" spans="1:6" ht="43.5">
      <c r="A1980" s="1" t="s">
        <v>5891</v>
      </c>
      <c r="B1980" s="4" t="s">
        <v>5892</v>
      </c>
      <c r="C1980" s="3" t="s">
        <v>5893</v>
      </c>
      <c r="D1980" s="5" t="s">
        <v>8</v>
      </c>
      <c r="E1980" s="6">
        <f>VALUE(2000)</f>
        <v>2000</v>
      </c>
      <c r="F1980" s="5" t="s">
        <v>9</v>
      </c>
    </row>
    <row r="1981" spans="1:6">
      <c r="A1981" s="1" t="s">
        <v>5894</v>
      </c>
      <c r="B1981" s="4" t="s">
        <v>5895</v>
      </c>
      <c r="C1981" s="3" t="s">
        <v>5896</v>
      </c>
      <c r="D1981" s="5" t="s">
        <v>8</v>
      </c>
      <c r="E1981" s="6">
        <f>VALUE(2995)</f>
        <v>2995</v>
      </c>
      <c r="F1981" s="5" t="s">
        <v>9</v>
      </c>
    </row>
    <row r="1982" spans="1:6">
      <c r="A1982" s="1" t="s">
        <v>5897</v>
      </c>
      <c r="B1982" s="4" t="s">
        <v>5898</v>
      </c>
      <c r="C1982" s="3" t="s">
        <v>5899</v>
      </c>
      <c r="D1982" s="5" t="s">
        <v>8</v>
      </c>
      <c r="E1982" s="6">
        <f>VALUE(295)</f>
        <v>295</v>
      </c>
      <c r="F1982" s="5" t="s">
        <v>9</v>
      </c>
    </row>
    <row r="1983" spans="1:6">
      <c r="A1983" s="1" t="s">
        <v>5900</v>
      </c>
      <c r="B1983" s="4" t="s">
        <v>5901</v>
      </c>
      <c r="C1983" s="3" t="s">
        <v>5902</v>
      </c>
      <c r="D1983" s="5" t="s">
        <v>8</v>
      </c>
      <c r="E1983" s="6">
        <f>VALUE(245)</f>
        <v>245</v>
      </c>
      <c r="F1983" s="5" t="s">
        <v>9</v>
      </c>
    </row>
    <row r="1984" spans="1:6">
      <c r="A1984" s="1" t="s">
        <v>5903</v>
      </c>
      <c r="B1984" s="4" t="s">
        <v>5904</v>
      </c>
      <c r="C1984" s="3" t="s">
        <v>5905</v>
      </c>
      <c r="D1984" s="5" t="s">
        <v>8</v>
      </c>
      <c r="E1984" s="6">
        <f>VALUE(295)</f>
        <v>295</v>
      </c>
      <c r="F1984" s="5" t="s">
        <v>9</v>
      </c>
    </row>
    <row r="1985" spans="1:6">
      <c r="A1985" s="1" t="s">
        <v>5906</v>
      </c>
      <c r="B1985" s="4" t="s">
        <v>5907</v>
      </c>
      <c r="C1985" s="3" t="s">
        <v>5908</v>
      </c>
      <c r="D1985" s="5" t="s">
        <v>8</v>
      </c>
      <c r="E1985" s="6">
        <f>VALUE(895)</f>
        <v>895</v>
      </c>
      <c r="F1985" s="5" t="s">
        <v>9</v>
      </c>
    </row>
    <row r="1986" spans="1:6">
      <c r="A1986" s="1" t="s">
        <v>5909</v>
      </c>
      <c r="B1986" s="4" t="s">
        <v>5910</v>
      </c>
      <c r="C1986" s="3" t="s">
        <v>5911</v>
      </c>
      <c r="D1986" s="5" t="s">
        <v>9</v>
      </c>
      <c r="E1986" s="6">
        <f>VALUE(1445)</f>
        <v>1445</v>
      </c>
      <c r="F1986" s="5" t="s">
        <v>9</v>
      </c>
    </row>
    <row r="1987" spans="1:6" ht="43.5">
      <c r="A1987" s="1" t="s">
        <v>5912</v>
      </c>
      <c r="B1987" s="4" t="s">
        <v>5913</v>
      </c>
      <c r="C1987" s="3" t="s">
        <v>5914</v>
      </c>
      <c r="D1987" s="5" t="s">
        <v>8</v>
      </c>
      <c r="E1987" s="6">
        <f>VALUE(2075)</f>
        <v>2075</v>
      </c>
      <c r="F1987" s="5" t="s">
        <v>9</v>
      </c>
    </row>
    <row r="1988" spans="1:6" ht="43.5">
      <c r="A1988" s="1" t="s">
        <v>5915</v>
      </c>
      <c r="B1988" s="4" t="s">
        <v>5916</v>
      </c>
      <c r="C1988" s="3" t="s">
        <v>5917</v>
      </c>
      <c r="D1988" s="5" t="s">
        <v>8</v>
      </c>
      <c r="E1988" s="6">
        <f>VALUE(10400)</f>
        <v>10400</v>
      </c>
      <c r="F1988" s="5" t="s">
        <v>9</v>
      </c>
    </row>
    <row r="1989" spans="1:6" ht="43.5">
      <c r="A1989" s="1" t="s">
        <v>5918</v>
      </c>
      <c r="B1989" s="4" t="s">
        <v>5919</v>
      </c>
      <c r="C1989" s="3" t="s">
        <v>5920</v>
      </c>
      <c r="D1989" s="5" t="s">
        <v>8</v>
      </c>
      <c r="E1989" s="6">
        <f>VALUE(2075)</f>
        <v>2075</v>
      </c>
      <c r="F1989" s="5" t="s">
        <v>9</v>
      </c>
    </row>
    <row r="1990" spans="1:6" ht="43.5">
      <c r="A1990" s="1" t="s">
        <v>5921</v>
      </c>
      <c r="B1990" s="4" t="s">
        <v>5922</v>
      </c>
      <c r="C1990" s="3" t="s">
        <v>5923</v>
      </c>
      <c r="D1990" s="5" t="s">
        <v>8</v>
      </c>
      <c r="E1990" s="6">
        <f>VALUE(10400)</f>
        <v>10400</v>
      </c>
      <c r="F1990" s="5" t="s">
        <v>9</v>
      </c>
    </row>
    <row r="1991" spans="1:6" ht="43.5">
      <c r="A1991" s="1" t="s">
        <v>5924</v>
      </c>
      <c r="B1991" s="4" t="s">
        <v>5925</v>
      </c>
      <c r="C1991" s="3" t="s">
        <v>5926</v>
      </c>
      <c r="D1991" s="5" t="s">
        <v>8</v>
      </c>
      <c r="E1991" s="6">
        <f>VALUE(675)</f>
        <v>675</v>
      </c>
      <c r="F1991" s="5" t="s">
        <v>9</v>
      </c>
    </row>
    <row r="1992" spans="1:6" ht="43.5">
      <c r="A1992" s="1" t="s">
        <v>5927</v>
      </c>
      <c r="B1992" s="4" t="s">
        <v>5928</v>
      </c>
      <c r="C1992" s="3" t="s">
        <v>5929</v>
      </c>
      <c r="D1992" s="5" t="s">
        <v>8</v>
      </c>
      <c r="E1992" s="6">
        <f>VALUE(1355)</f>
        <v>1355</v>
      </c>
      <c r="F1992" s="5" t="s">
        <v>9</v>
      </c>
    </row>
    <row r="1993" spans="1:6" ht="43.5">
      <c r="A1993" s="1" t="s">
        <v>5930</v>
      </c>
      <c r="B1993" s="4" t="s">
        <v>5931</v>
      </c>
      <c r="C1993" s="3" t="s">
        <v>5932</v>
      </c>
      <c r="D1993" s="5" t="s">
        <v>8</v>
      </c>
      <c r="E1993" s="6">
        <f>VALUE(3115)</f>
        <v>3115</v>
      </c>
      <c r="F1993" s="5" t="s">
        <v>9</v>
      </c>
    </row>
    <row r="1994" spans="1:6" ht="58">
      <c r="A1994" s="1" t="s">
        <v>5933</v>
      </c>
      <c r="B1994" s="4" t="s">
        <v>5934</v>
      </c>
      <c r="C1994" s="3" t="s">
        <v>5935</v>
      </c>
      <c r="D1994" s="5" t="s">
        <v>8</v>
      </c>
      <c r="E1994" s="6">
        <f>VALUE(500)</f>
        <v>500</v>
      </c>
      <c r="F1994" s="5" t="s">
        <v>9</v>
      </c>
    </row>
    <row r="1995" spans="1:6" ht="72.5">
      <c r="A1995" s="1" t="s">
        <v>5936</v>
      </c>
      <c r="B1995" s="4" t="s">
        <v>5937</v>
      </c>
      <c r="C1995" s="3" t="s">
        <v>5938</v>
      </c>
      <c r="D1995" s="5" t="s">
        <v>8</v>
      </c>
      <c r="E1995" s="6">
        <f>VALUE(390)</f>
        <v>390</v>
      </c>
      <c r="F1995" s="5" t="s">
        <v>9</v>
      </c>
    </row>
    <row r="1996" spans="1:6" ht="58">
      <c r="A1996" s="1" t="s">
        <v>5939</v>
      </c>
      <c r="B1996" s="4" t="s">
        <v>5940</v>
      </c>
      <c r="C1996" s="3" t="s">
        <v>5941</v>
      </c>
      <c r="D1996" s="5" t="s">
        <v>8</v>
      </c>
      <c r="E1996" s="6">
        <f>VALUE(0)</f>
        <v>0</v>
      </c>
      <c r="F1996" s="5" t="s">
        <v>9</v>
      </c>
    </row>
    <row r="1997" spans="1:6" ht="58">
      <c r="A1997" s="1" t="s">
        <v>5942</v>
      </c>
      <c r="B1997" s="4" t="s">
        <v>5943</v>
      </c>
      <c r="C1997" s="3" t="s">
        <v>5944</v>
      </c>
      <c r="D1997" s="5" t="s">
        <v>8</v>
      </c>
      <c r="E1997" s="6">
        <f>VALUE(500)</f>
        <v>500</v>
      </c>
      <c r="F1997" s="5" t="s">
        <v>9</v>
      </c>
    </row>
    <row r="1998" spans="1:6" ht="72.5">
      <c r="A1998" s="1" t="s">
        <v>5945</v>
      </c>
      <c r="B1998" s="4" t="s">
        <v>5946</v>
      </c>
      <c r="C1998" s="3" t="s">
        <v>5947</v>
      </c>
      <c r="D1998" s="5" t="s">
        <v>8</v>
      </c>
      <c r="E1998" s="6">
        <f>VALUE(1700)</f>
        <v>1700</v>
      </c>
      <c r="F1998" s="5" t="s">
        <v>9</v>
      </c>
    </row>
    <row r="1999" spans="1:6" ht="87">
      <c r="A1999" s="1" t="s">
        <v>5948</v>
      </c>
      <c r="B1999" s="4" t="s">
        <v>5949</v>
      </c>
      <c r="C1999" s="3" t="s">
        <v>5950</v>
      </c>
      <c r="D1999" s="5" t="s">
        <v>8</v>
      </c>
      <c r="E1999" s="6">
        <f>VALUE(2800)</f>
        <v>2800</v>
      </c>
      <c r="F1999" s="5" t="s">
        <v>9</v>
      </c>
    </row>
    <row r="2000" spans="1:6" ht="87">
      <c r="A2000" s="1" t="s">
        <v>5951</v>
      </c>
      <c r="B2000" s="4" t="s">
        <v>5952</v>
      </c>
      <c r="C2000" s="3" t="s">
        <v>5953</v>
      </c>
      <c r="D2000" s="5" t="s">
        <v>8</v>
      </c>
      <c r="E2000" s="6">
        <f>VALUE(5000)</f>
        <v>5000</v>
      </c>
      <c r="F2000" s="5" t="s">
        <v>9</v>
      </c>
    </row>
    <row r="2001" spans="1:6" ht="72.5">
      <c r="A2001" s="1" t="s">
        <v>5954</v>
      </c>
      <c r="B2001" s="4" t="s">
        <v>5955</v>
      </c>
      <c r="C2001" s="3" t="s">
        <v>5956</v>
      </c>
      <c r="D2001" s="5" t="s">
        <v>8</v>
      </c>
      <c r="E2001" s="6">
        <f>VALUE(3300)</f>
        <v>3300</v>
      </c>
      <c r="F2001" s="5" t="s">
        <v>9</v>
      </c>
    </row>
    <row r="2002" spans="1:6" ht="29">
      <c r="A2002" s="1" t="s">
        <v>5957</v>
      </c>
      <c r="B2002" s="4" t="s">
        <v>5958</v>
      </c>
      <c r="C2002" s="3" t="s">
        <v>5957</v>
      </c>
      <c r="D2002" s="5" t="s">
        <v>8</v>
      </c>
      <c r="E2002" s="6">
        <f>VALUE(995)</f>
        <v>995</v>
      </c>
      <c r="F2002" s="5" t="s">
        <v>9</v>
      </c>
    </row>
    <row r="2003" spans="1:6" ht="29">
      <c r="A2003" s="1" t="s">
        <v>5959</v>
      </c>
      <c r="B2003" s="4" t="s">
        <v>5960</v>
      </c>
      <c r="C2003" s="3" t="s">
        <v>5959</v>
      </c>
      <c r="D2003" s="5" t="s">
        <v>8</v>
      </c>
      <c r="E2003" s="6">
        <f>VALUE(995)</f>
        <v>995</v>
      </c>
      <c r="F2003" s="5" t="s">
        <v>9</v>
      </c>
    </row>
    <row r="2004" spans="1:6" ht="29">
      <c r="A2004" s="1" t="s">
        <v>5961</v>
      </c>
      <c r="B2004" s="4" t="s">
        <v>5962</v>
      </c>
      <c r="C2004" s="3" t="s">
        <v>5963</v>
      </c>
      <c r="D2004" s="5" t="s">
        <v>8</v>
      </c>
      <c r="E2004" s="6">
        <f>VALUE(2995)</f>
        <v>2995</v>
      </c>
      <c r="F2004" s="5" t="s">
        <v>9</v>
      </c>
    </row>
    <row r="2005" spans="1:6" ht="29">
      <c r="A2005" s="1" t="s">
        <v>5964</v>
      </c>
      <c r="B2005" s="4" t="s">
        <v>5965</v>
      </c>
      <c r="C2005" s="3" t="s">
        <v>5966</v>
      </c>
      <c r="D2005" s="5" t="s">
        <v>8</v>
      </c>
      <c r="E2005" s="6">
        <f>VALUE(2995)</f>
        <v>2995</v>
      </c>
      <c r="F2005" s="5" t="s">
        <v>9</v>
      </c>
    </row>
    <row r="2006" spans="1:6" ht="43.5">
      <c r="A2006" s="1" t="s">
        <v>5967</v>
      </c>
      <c r="B2006" s="4" t="s">
        <v>5968</v>
      </c>
      <c r="C2006" s="3" t="s">
        <v>5969</v>
      </c>
      <c r="D2006" s="5" t="s">
        <v>8</v>
      </c>
      <c r="E2006" s="6">
        <f>VALUE(34455)</f>
        <v>34455</v>
      </c>
      <c r="F2006" s="5" t="s">
        <v>9</v>
      </c>
    </row>
    <row r="2007" spans="1:6" ht="29">
      <c r="A2007" s="1" t="s">
        <v>5970</v>
      </c>
      <c r="B2007" s="4" t="s">
        <v>5971</v>
      </c>
      <c r="C2007" s="3" t="s">
        <v>5972</v>
      </c>
      <c r="D2007" s="5" t="s">
        <v>8</v>
      </c>
      <c r="E2007" s="6">
        <f>VALUE(21995)</f>
        <v>21995</v>
      </c>
      <c r="F2007" s="5" t="s">
        <v>9</v>
      </c>
    </row>
    <row r="2008" spans="1:6" ht="29">
      <c r="A2008" s="1" t="s">
        <v>5973</v>
      </c>
      <c r="B2008" s="4" t="s">
        <v>5974</v>
      </c>
      <c r="C2008" s="3" t="s">
        <v>5975</v>
      </c>
      <c r="D2008" s="5" t="s">
        <v>8</v>
      </c>
      <c r="E2008" s="6">
        <f>VALUE(8795)</f>
        <v>8795</v>
      </c>
      <c r="F2008" s="5" t="s">
        <v>9</v>
      </c>
    </row>
    <row r="2009" spans="1:6" ht="29">
      <c r="A2009" s="1" t="s">
        <v>5976</v>
      </c>
      <c r="B2009" s="4" t="s">
        <v>5977</v>
      </c>
      <c r="C2009" s="3" t="s">
        <v>5978</v>
      </c>
      <c r="D2009" s="5" t="s">
        <v>8</v>
      </c>
      <c r="E2009" s="6">
        <f>VALUE(7695)</f>
        <v>7695</v>
      </c>
      <c r="F2009" s="5" t="s">
        <v>9</v>
      </c>
    </row>
    <row r="2010" spans="1:6" ht="29">
      <c r="A2010" s="1" t="s">
        <v>5979</v>
      </c>
      <c r="B2010" s="4" t="s">
        <v>5980</v>
      </c>
      <c r="C2010" s="3" t="s">
        <v>5981</v>
      </c>
      <c r="D2010" s="5" t="s">
        <v>8</v>
      </c>
      <c r="E2010" s="6">
        <f>VALUE(29695)</f>
        <v>29695</v>
      </c>
      <c r="F2010" s="5" t="s">
        <v>9</v>
      </c>
    </row>
    <row r="2011" spans="1:6" ht="43.5">
      <c r="A2011" s="1" t="s">
        <v>5982</v>
      </c>
      <c r="B2011" s="4" t="s">
        <v>5983</v>
      </c>
      <c r="C2011" s="3" t="s">
        <v>5984</v>
      </c>
      <c r="D2011" s="5" t="s">
        <v>8</v>
      </c>
      <c r="E2011" s="6">
        <f>VALUE(21995)</f>
        <v>21995</v>
      </c>
      <c r="F2011" s="5" t="s">
        <v>9</v>
      </c>
    </row>
    <row r="2012" spans="1:6" ht="29">
      <c r="A2012" s="1" t="s">
        <v>5985</v>
      </c>
      <c r="B2012" s="4" t="s">
        <v>5986</v>
      </c>
      <c r="C2012" s="3" t="s">
        <v>5987</v>
      </c>
      <c r="D2012" s="5" t="s">
        <v>8</v>
      </c>
      <c r="E2012" s="6">
        <f>VALUE(21995)</f>
        <v>21995</v>
      </c>
      <c r="F2012" s="5" t="s">
        <v>9</v>
      </c>
    </row>
    <row r="2013" spans="1:6" ht="43.5">
      <c r="A2013" s="1" t="s">
        <v>5988</v>
      </c>
      <c r="B2013" s="4" t="s">
        <v>5989</v>
      </c>
      <c r="C2013" s="3" t="s">
        <v>5990</v>
      </c>
      <c r="D2013" s="5" t="s">
        <v>8</v>
      </c>
      <c r="E2013" s="6">
        <f>VALUE(39595)</f>
        <v>39595</v>
      </c>
      <c r="F2013" s="5" t="s">
        <v>9</v>
      </c>
    </row>
    <row r="2014" spans="1:6" ht="43.5">
      <c r="A2014" s="1" t="s">
        <v>5991</v>
      </c>
      <c r="B2014" s="4" t="s">
        <v>5992</v>
      </c>
      <c r="C2014" s="3" t="s">
        <v>5993</v>
      </c>
      <c r="D2014" s="5" t="s">
        <v>8</v>
      </c>
      <c r="E2014" s="6">
        <f>VALUE(58295)</f>
        <v>58295</v>
      </c>
      <c r="F2014" s="5" t="s">
        <v>9</v>
      </c>
    </row>
    <row r="2015" spans="1:6" ht="43.5">
      <c r="A2015" s="1" t="s">
        <v>5994</v>
      </c>
      <c r="B2015" s="4" t="s">
        <v>5995</v>
      </c>
      <c r="C2015" s="3" t="s">
        <v>5996</v>
      </c>
      <c r="D2015" s="5" t="s">
        <v>8</v>
      </c>
      <c r="E2015" s="6">
        <f>VALUE(21995)</f>
        <v>21995</v>
      </c>
      <c r="F2015" s="5" t="s">
        <v>9</v>
      </c>
    </row>
    <row r="2016" spans="1:6" ht="43.5">
      <c r="A2016" s="1" t="s">
        <v>5997</v>
      </c>
      <c r="B2016" s="4" t="s">
        <v>5998</v>
      </c>
      <c r="C2016" s="3" t="s">
        <v>5999</v>
      </c>
      <c r="D2016" s="5" t="s">
        <v>8</v>
      </c>
      <c r="E2016" s="6">
        <f>VALUE(58295)</f>
        <v>58295</v>
      </c>
      <c r="F2016" s="5" t="s">
        <v>9</v>
      </c>
    </row>
    <row r="2017" spans="1:6" ht="29">
      <c r="A2017" s="1" t="s">
        <v>6000</v>
      </c>
      <c r="B2017" s="4" t="s">
        <v>6001</v>
      </c>
      <c r="C2017" s="3" t="s">
        <v>6002</v>
      </c>
      <c r="D2017" s="5" t="s">
        <v>8</v>
      </c>
      <c r="E2017" s="6">
        <f>VALUE(225)</f>
        <v>225</v>
      </c>
      <c r="F2017" s="5" t="s">
        <v>9</v>
      </c>
    </row>
    <row r="2018" spans="1:6" ht="29">
      <c r="A2018" s="1" t="s">
        <v>6003</v>
      </c>
      <c r="B2018" s="4" t="s">
        <v>6004</v>
      </c>
      <c r="C2018" s="3" t="s">
        <v>6005</v>
      </c>
      <c r="D2018" s="5" t="s">
        <v>8</v>
      </c>
      <c r="E2018" s="6">
        <f>VALUE(445)</f>
        <v>445</v>
      </c>
      <c r="F2018" s="5" t="s">
        <v>9</v>
      </c>
    </row>
    <row r="2019" spans="1:6" ht="29">
      <c r="A2019" s="1" t="s">
        <v>6006</v>
      </c>
      <c r="B2019" s="4" t="s">
        <v>6007</v>
      </c>
      <c r="C2019" s="3" t="s">
        <v>6008</v>
      </c>
      <c r="D2019" s="5" t="s">
        <v>8</v>
      </c>
      <c r="E2019" s="6">
        <f>VALUE(895)</f>
        <v>895</v>
      </c>
      <c r="F2019" s="5" t="s">
        <v>9</v>
      </c>
    </row>
    <row r="2020" spans="1:6" ht="29">
      <c r="A2020" s="1" t="s">
        <v>6009</v>
      </c>
      <c r="B2020" s="4" t="s">
        <v>6010</v>
      </c>
      <c r="C2020" s="3" t="s">
        <v>6011</v>
      </c>
      <c r="D2020" s="5" t="s">
        <v>8</v>
      </c>
      <c r="E2020" s="6">
        <f>VALUE(795)</f>
        <v>795</v>
      </c>
      <c r="F2020" s="5" t="s">
        <v>9</v>
      </c>
    </row>
    <row r="2021" spans="1:6" ht="29">
      <c r="A2021" s="1" t="s">
        <v>6012</v>
      </c>
      <c r="B2021" s="4" t="s">
        <v>6013</v>
      </c>
      <c r="C2021" s="3" t="s">
        <v>6014</v>
      </c>
      <c r="D2021" s="5" t="s">
        <v>8</v>
      </c>
      <c r="E2021" s="6">
        <f>VALUE(2095)</f>
        <v>2095</v>
      </c>
      <c r="F2021" s="5" t="s">
        <v>9</v>
      </c>
    </row>
    <row r="2022" spans="1:6" ht="29">
      <c r="A2022" s="1" t="s">
        <v>6015</v>
      </c>
      <c r="B2022" s="4" t="s">
        <v>6016</v>
      </c>
      <c r="C2022" s="3" t="s">
        <v>6017</v>
      </c>
      <c r="D2022" s="5" t="s">
        <v>8</v>
      </c>
      <c r="E2022" s="6">
        <f>VALUE(3145)</f>
        <v>3145</v>
      </c>
      <c r="F2022" s="5" t="s">
        <v>9</v>
      </c>
    </row>
    <row r="2023" spans="1:6" ht="29">
      <c r="A2023" s="1" t="s">
        <v>6018</v>
      </c>
      <c r="B2023" s="4" t="s">
        <v>6019</v>
      </c>
      <c r="C2023" s="3" t="s">
        <v>6020</v>
      </c>
      <c r="D2023" s="5" t="s">
        <v>8</v>
      </c>
      <c r="E2023" s="6">
        <f>VALUE(1995)</f>
        <v>1995</v>
      </c>
      <c r="F2023" s="5" t="s">
        <v>9</v>
      </c>
    </row>
    <row r="2024" spans="1:6" ht="29">
      <c r="A2024" s="1" t="s">
        <v>6021</v>
      </c>
      <c r="B2024" s="4" t="s">
        <v>6022</v>
      </c>
      <c r="C2024" s="3" t="s">
        <v>6023</v>
      </c>
      <c r="D2024" s="5" t="s">
        <v>8</v>
      </c>
      <c r="E2024" s="6">
        <f>VALUE(5195)</f>
        <v>5195</v>
      </c>
      <c r="F2024" s="5" t="s">
        <v>9</v>
      </c>
    </row>
    <row r="2025" spans="1:6" ht="29">
      <c r="A2025" s="1" t="s">
        <v>6024</v>
      </c>
      <c r="B2025" s="4" t="s">
        <v>6025</v>
      </c>
      <c r="C2025" s="3" t="s">
        <v>6026</v>
      </c>
      <c r="D2025" s="5" t="s">
        <v>8</v>
      </c>
      <c r="E2025" s="6">
        <f>VALUE(8995)</f>
        <v>8995</v>
      </c>
      <c r="F2025" s="5" t="s">
        <v>9</v>
      </c>
    </row>
    <row r="2026" spans="1:6" ht="29">
      <c r="A2026" s="1" t="s">
        <v>6027</v>
      </c>
      <c r="B2026" s="4" t="s">
        <v>6028</v>
      </c>
      <c r="C2026" s="3" t="s">
        <v>6029</v>
      </c>
      <c r="D2026" s="5" t="s">
        <v>8</v>
      </c>
      <c r="E2026" s="6">
        <f>VALUE(1095)</f>
        <v>1095</v>
      </c>
      <c r="F2026" s="5" t="s">
        <v>9</v>
      </c>
    </row>
    <row r="2027" spans="1:6" ht="29">
      <c r="A2027" s="1" t="s">
        <v>6030</v>
      </c>
      <c r="B2027" s="4" t="s">
        <v>6031</v>
      </c>
      <c r="C2027" s="3" t="s">
        <v>6032</v>
      </c>
      <c r="D2027" s="5" t="s">
        <v>8</v>
      </c>
      <c r="E2027" s="6">
        <f>VALUE(2995)</f>
        <v>2995</v>
      </c>
      <c r="F2027" s="5" t="s">
        <v>9</v>
      </c>
    </row>
    <row r="2028" spans="1:6" ht="29">
      <c r="A2028" s="1" t="s">
        <v>6033</v>
      </c>
      <c r="B2028" s="4" t="s">
        <v>6034</v>
      </c>
      <c r="C2028" s="3" t="s">
        <v>6035</v>
      </c>
      <c r="D2028" s="5" t="s">
        <v>8</v>
      </c>
      <c r="E2028" s="6">
        <f>VALUE(4295)</f>
        <v>4295</v>
      </c>
      <c r="F2028" s="5" t="s">
        <v>9</v>
      </c>
    </row>
    <row r="2029" spans="1:6" ht="29">
      <c r="A2029" s="1" t="s">
        <v>6036</v>
      </c>
      <c r="B2029" s="4" t="s">
        <v>6037</v>
      </c>
      <c r="C2029" s="3" t="s">
        <v>6038</v>
      </c>
      <c r="D2029" s="5" t="s">
        <v>8</v>
      </c>
      <c r="E2029" s="6">
        <f>VALUE(2845)</f>
        <v>2845</v>
      </c>
      <c r="F2029" s="5" t="s">
        <v>9</v>
      </c>
    </row>
    <row r="2030" spans="1:6" ht="29">
      <c r="A2030" s="1" t="s">
        <v>6039</v>
      </c>
      <c r="B2030" s="4" t="s">
        <v>6040</v>
      </c>
      <c r="C2030" s="3" t="s">
        <v>6041</v>
      </c>
      <c r="D2030" s="5" t="s">
        <v>8</v>
      </c>
      <c r="E2030" s="6">
        <f>VALUE(7295)</f>
        <v>7295</v>
      </c>
      <c r="F2030" s="5" t="s">
        <v>9</v>
      </c>
    </row>
    <row r="2031" spans="1:6" ht="29">
      <c r="A2031" s="1" t="s">
        <v>6042</v>
      </c>
      <c r="B2031" s="4" t="s">
        <v>6043</v>
      </c>
      <c r="C2031" s="3" t="s">
        <v>6044</v>
      </c>
      <c r="D2031" s="5" t="s">
        <v>8</v>
      </c>
      <c r="E2031" s="6">
        <f>VALUE(11995)</f>
        <v>11995</v>
      </c>
      <c r="F2031" s="5" t="s">
        <v>9</v>
      </c>
    </row>
    <row r="2032" spans="1:6" ht="29">
      <c r="A2032" s="1" t="s">
        <v>6045</v>
      </c>
      <c r="B2032" s="4" t="s">
        <v>6046</v>
      </c>
      <c r="C2032" s="3" t="s">
        <v>6047</v>
      </c>
      <c r="D2032" s="5" t="s">
        <v>8</v>
      </c>
      <c r="E2032" s="6">
        <f>VALUE(4995)</f>
        <v>4995</v>
      </c>
      <c r="F2032" s="5" t="s">
        <v>9</v>
      </c>
    </row>
    <row r="2033" spans="1:6" ht="29">
      <c r="A2033" s="1" t="s">
        <v>6048</v>
      </c>
      <c r="B2033" s="4" t="s">
        <v>6049</v>
      </c>
      <c r="C2033" s="3" t="s">
        <v>6050</v>
      </c>
      <c r="D2033" s="5" t="s">
        <v>8</v>
      </c>
      <c r="E2033" s="6">
        <f>VALUE(8095)</f>
        <v>8095</v>
      </c>
      <c r="F2033" s="5" t="s">
        <v>9</v>
      </c>
    </row>
    <row r="2034" spans="1:6" ht="29">
      <c r="A2034" s="1" t="s">
        <v>6051</v>
      </c>
      <c r="B2034" s="4" t="s">
        <v>6052</v>
      </c>
      <c r="C2034" s="3" t="s">
        <v>6053</v>
      </c>
      <c r="D2034" s="5" t="s">
        <v>8</v>
      </c>
      <c r="E2034" s="6">
        <f>VALUE(570)</f>
        <v>570</v>
      </c>
      <c r="F2034" s="5" t="s">
        <v>9</v>
      </c>
    </row>
    <row r="2035" spans="1:6" ht="43.5">
      <c r="A2035" s="1" t="s">
        <v>6054</v>
      </c>
      <c r="B2035" s="4" t="s">
        <v>6055</v>
      </c>
      <c r="C2035" s="3" t="s">
        <v>6056</v>
      </c>
      <c r="D2035" s="5" t="s">
        <v>8</v>
      </c>
      <c r="E2035" s="6">
        <f>VALUE(1650)</f>
        <v>1650</v>
      </c>
      <c r="F2035" s="5" t="s">
        <v>9</v>
      </c>
    </row>
    <row r="2036" spans="1:6" ht="29">
      <c r="A2036" s="1" t="s">
        <v>6057</v>
      </c>
      <c r="B2036" s="4" t="s">
        <v>6058</v>
      </c>
      <c r="C2036" s="3" t="s">
        <v>6059</v>
      </c>
      <c r="D2036" s="5" t="s">
        <v>8</v>
      </c>
      <c r="E2036" s="6">
        <f>VALUE(2250)</f>
        <v>2250</v>
      </c>
      <c r="F2036" s="5" t="s">
        <v>9</v>
      </c>
    </row>
    <row r="2037" spans="1:6" ht="29">
      <c r="A2037" s="1" t="s">
        <v>6060</v>
      </c>
      <c r="B2037" s="4" t="s">
        <v>6061</v>
      </c>
      <c r="C2037" s="3" t="s">
        <v>6062</v>
      </c>
      <c r="D2037" s="5" t="s">
        <v>8</v>
      </c>
      <c r="E2037" s="6">
        <f>VALUE(1200)</f>
        <v>1200</v>
      </c>
      <c r="F2037" s="5" t="s">
        <v>9</v>
      </c>
    </row>
    <row r="2038" spans="1:6" ht="43.5">
      <c r="A2038" s="1" t="s">
        <v>6063</v>
      </c>
      <c r="B2038" s="4" t="s">
        <v>6064</v>
      </c>
      <c r="C2038" s="3" t="s">
        <v>6065</v>
      </c>
      <c r="D2038" s="5" t="s">
        <v>8</v>
      </c>
      <c r="E2038" s="6">
        <f>VALUE(3100)</f>
        <v>3100</v>
      </c>
      <c r="F2038" s="5" t="s">
        <v>9</v>
      </c>
    </row>
    <row r="2039" spans="1:6" ht="29">
      <c r="A2039" s="1" t="s">
        <v>6066</v>
      </c>
      <c r="B2039" s="4" t="s">
        <v>6067</v>
      </c>
      <c r="C2039" s="3" t="s">
        <v>6068</v>
      </c>
      <c r="D2039" s="5" t="s">
        <v>8</v>
      </c>
      <c r="E2039" s="6">
        <f>VALUE(5850)</f>
        <v>5850</v>
      </c>
      <c r="F2039" s="5" t="s">
        <v>9</v>
      </c>
    </row>
    <row r="2040" spans="1:6" ht="29">
      <c r="A2040" s="1" t="s">
        <v>6069</v>
      </c>
      <c r="B2040" s="4" t="s">
        <v>6070</v>
      </c>
      <c r="C2040" s="3" t="s">
        <v>6071</v>
      </c>
      <c r="D2040" s="5" t="s">
        <v>8</v>
      </c>
      <c r="E2040" s="6">
        <f>VALUE(870)</f>
        <v>870</v>
      </c>
      <c r="F2040" s="5" t="s">
        <v>9</v>
      </c>
    </row>
    <row r="2041" spans="1:6" ht="43.5">
      <c r="A2041" s="1" t="s">
        <v>6072</v>
      </c>
      <c r="B2041" s="4" t="s">
        <v>6073</v>
      </c>
      <c r="C2041" s="3" t="s">
        <v>6074</v>
      </c>
      <c r="D2041" s="5" t="s">
        <v>8</v>
      </c>
      <c r="E2041" s="6">
        <f>VALUE(2550)</f>
        <v>2550</v>
      </c>
      <c r="F2041" s="5" t="s">
        <v>9</v>
      </c>
    </row>
    <row r="2042" spans="1:6" ht="29">
      <c r="A2042" s="1" t="s">
        <v>6075</v>
      </c>
      <c r="B2042" s="4" t="s">
        <v>6076</v>
      </c>
      <c r="C2042" s="3" t="s">
        <v>6077</v>
      </c>
      <c r="D2042" s="5" t="s">
        <v>8</v>
      </c>
      <c r="E2042" s="6">
        <f>VALUE(3400)</f>
        <v>3400</v>
      </c>
      <c r="F2042" s="5" t="s">
        <v>9</v>
      </c>
    </row>
    <row r="2043" spans="1:6" ht="29">
      <c r="A2043" s="1" t="s">
        <v>6078</v>
      </c>
      <c r="B2043" s="4" t="s">
        <v>6079</v>
      </c>
      <c r="C2043" s="3" t="s">
        <v>6080</v>
      </c>
      <c r="D2043" s="5" t="s">
        <v>8</v>
      </c>
      <c r="E2043" s="6">
        <f>VALUE(1750)</f>
        <v>1750</v>
      </c>
      <c r="F2043" s="5" t="s">
        <v>9</v>
      </c>
    </row>
    <row r="2044" spans="1:6" ht="43.5">
      <c r="A2044" s="1" t="s">
        <v>6081</v>
      </c>
      <c r="B2044" s="4" t="s">
        <v>6082</v>
      </c>
      <c r="C2044" s="3" t="s">
        <v>6083</v>
      </c>
      <c r="D2044" s="5" t="s">
        <v>8</v>
      </c>
      <c r="E2044" s="6">
        <f>VALUE(4300)</f>
        <v>4300</v>
      </c>
      <c r="F2044" s="5" t="s">
        <v>9</v>
      </c>
    </row>
    <row r="2045" spans="1:6" ht="29">
      <c r="A2045" s="1" t="s">
        <v>6084</v>
      </c>
      <c r="B2045" s="4" t="s">
        <v>6085</v>
      </c>
      <c r="C2045" s="3" t="s">
        <v>6086</v>
      </c>
      <c r="D2045" s="5" t="s">
        <v>8</v>
      </c>
      <c r="E2045" s="6">
        <f>VALUE(7700)</f>
        <v>7700</v>
      </c>
      <c r="F2045" s="5" t="s">
        <v>9</v>
      </c>
    </row>
    <row r="2046" spans="1:6" ht="43.5">
      <c r="A2046" s="1" t="s">
        <v>6087</v>
      </c>
      <c r="B2046" s="4" t="s">
        <v>6088</v>
      </c>
      <c r="C2046" s="3" t="s">
        <v>6089</v>
      </c>
      <c r="D2046" s="5" t="s">
        <v>8</v>
      </c>
      <c r="E2046" s="6">
        <f>VALUE(4550)</f>
        <v>4550</v>
      </c>
      <c r="F2046" s="5" t="s">
        <v>9</v>
      </c>
    </row>
    <row r="2047" spans="1:6" ht="29">
      <c r="A2047" s="1" t="s">
        <v>6090</v>
      </c>
      <c r="B2047" s="4" t="s">
        <v>6091</v>
      </c>
      <c r="C2047" s="3" t="s">
        <v>6092</v>
      </c>
      <c r="D2047" s="5" t="s">
        <v>8</v>
      </c>
      <c r="E2047" s="6">
        <f>VALUE(7200)</f>
        <v>7200</v>
      </c>
      <c r="F2047" s="5" t="s">
        <v>9</v>
      </c>
    </row>
    <row r="2048" spans="1:6" ht="43.5">
      <c r="A2048" s="1" t="s">
        <v>6093</v>
      </c>
      <c r="B2048" s="4" t="s">
        <v>6094</v>
      </c>
      <c r="C2048" s="3" t="s">
        <v>6095</v>
      </c>
      <c r="D2048" s="5" t="s">
        <v>8</v>
      </c>
      <c r="E2048" s="6">
        <f>VALUE(1555)</f>
        <v>1555</v>
      </c>
      <c r="F2048" s="5" t="s">
        <v>9</v>
      </c>
    </row>
    <row r="2049" spans="1:6" ht="43.5">
      <c r="A2049" s="1" t="s">
        <v>6096</v>
      </c>
      <c r="B2049" s="4" t="s">
        <v>6097</v>
      </c>
      <c r="C2049" s="3" t="s">
        <v>6098</v>
      </c>
      <c r="D2049" s="5" t="s">
        <v>8</v>
      </c>
      <c r="E2049" s="6">
        <f>VALUE(1555)</f>
        <v>1555</v>
      </c>
      <c r="F2049" s="5" t="s">
        <v>9</v>
      </c>
    </row>
    <row r="2050" spans="1:6" ht="29">
      <c r="A2050" s="1" t="s">
        <v>6099</v>
      </c>
      <c r="B2050" s="4" t="s">
        <v>6100</v>
      </c>
      <c r="C2050" s="3" t="s">
        <v>6101</v>
      </c>
      <c r="D2050" s="5" t="s">
        <v>8</v>
      </c>
      <c r="E2050" s="6">
        <f>VALUE(365)</f>
        <v>365</v>
      </c>
      <c r="F2050" s="5" t="s">
        <v>9</v>
      </c>
    </row>
    <row r="2051" spans="1:6" ht="29">
      <c r="A2051" s="1" t="s">
        <v>6102</v>
      </c>
      <c r="B2051" s="4" t="s">
        <v>6103</v>
      </c>
      <c r="C2051" s="3" t="s">
        <v>6104</v>
      </c>
      <c r="D2051" s="5" t="s">
        <v>8</v>
      </c>
      <c r="E2051" s="6">
        <f>VALUE(675)</f>
        <v>675</v>
      </c>
      <c r="F2051" s="5" t="s">
        <v>9</v>
      </c>
    </row>
    <row r="2052" spans="1:6" ht="43.5">
      <c r="A2052" s="1" t="s">
        <v>6105</v>
      </c>
      <c r="B2052" s="4" t="s">
        <v>6106</v>
      </c>
      <c r="C2052" s="3" t="s">
        <v>6107</v>
      </c>
      <c r="D2052" s="5" t="s">
        <v>8</v>
      </c>
      <c r="E2052" s="6">
        <f>VALUE(815)</f>
        <v>815</v>
      </c>
      <c r="F2052" s="5" t="s">
        <v>9</v>
      </c>
    </row>
    <row r="2053" spans="1:6" ht="29">
      <c r="A2053" s="1" t="s">
        <v>6108</v>
      </c>
      <c r="B2053" s="4" t="s">
        <v>6109</v>
      </c>
      <c r="C2053" s="3" t="s">
        <v>6110</v>
      </c>
      <c r="D2053" s="5" t="s">
        <v>8</v>
      </c>
      <c r="E2053" s="6">
        <f>VALUE(1295)</f>
        <v>1295</v>
      </c>
      <c r="F2053" s="5" t="s">
        <v>9</v>
      </c>
    </row>
    <row r="2054" spans="1:6" ht="29">
      <c r="A2054" s="1" t="s">
        <v>6111</v>
      </c>
      <c r="B2054" s="4" t="s">
        <v>6112</v>
      </c>
      <c r="C2054" s="3" t="s">
        <v>6113</v>
      </c>
      <c r="D2054" s="5" t="s">
        <v>8</v>
      </c>
      <c r="E2054" s="6">
        <f>VALUE(2075)</f>
        <v>2075</v>
      </c>
      <c r="F2054" s="5" t="s">
        <v>9</v>
      </c>
    </row>
    <row r="2055" spans="1:6" ht="29">
      <c r="A2055" s="1" t="s">
        <v>6114</v>
      </c>
      <c r="B2055" s="4" t="s">
        <v>6115</v>
      </c>
      <c r="C2055" s="3" t="s">
        <v>6116</v>
      </c>
      <c r="D2055" s="5" t="s">
        <v>8</v>
      </c>
      <c r="E2055" s="6">
        <f>VALUE(10400)</f>
        <v>10400</v>
      </c>
      <c r="F2055" s="5" t="s">
        <v>9</v>
      </c>
    </row>
    <row r="2056" spans="1:6" ht="43.5">
      <c r="A2056" s="1" t="s">
        <v>6117</v>
      </c>
      <c r="B2056" s="4" t="s">
        <v>6118</v>
      </c>
      <c r="C2056" s="3" t="s">
        <v>6119</v>
      </c>
      <c r="D2056" s="5" t="s">
        <v>8</v>
      </c>
      <c r="E2056" s="6">
        <f>VALUE(2075)</f>
        <v>2075</v>
      </c>
      <c r="F2056" s="5" t="s">
        <v>9</v>
      </c>
    </row>
    <row r="2057" spans="1:6" ht="43.5">
      <c r="A2057" s="1" t="s">
        <v>6120</v>
      </c>
      <c r="B2057" s="4" t="s">
        <v>6121</v>
      </c>
      <c r="C2057" s="3" t="s">
        <v>6122</v>
      </c>
      <c r="D2057" s="5" t="s">
        <v>8</v>
      </c>
      <c r="E2057" s="6">
        <f>VALUE(10400)</f>
        <v>10400</v>
      </c>
      <c r="F2057" s="5" t="s">
        <v>9</v>
      </c>
    </row>
    <row r="2058" spans="1:6" ht="43.5">
      <c r="A2058" s="1" t="s">
        <v>6123</v>
      </c>
      <c r="B2058" s="4" t="s">
        <v>6124</v>
      </c>
      <c r="C2058" s="3" t="s">
        <v>6125</v>
      </c>
      <c r="D2058" s="5" t="s">
        <v>8</v>
      </c>
      <c r="E2058" s="6">
        <f>VALUE(1000)</f>
        <v>1000</v>
      </c>
      <c r="F2058" s="5" t="s">
        <v>9</v>
      </c>
    </row>
    <row r="2059" spans="1:6" ht="43.5">
      <c r="A2059" s="1" t="s">
        <v>6126</v>
      </c>
      <c r="B2059" s="4" t="s">
        <v>6127</v>
      </c>
      <c r="C2059" s="3" t="s">
        <v>6128</v>
      </c>
      <c r="D2059" s="5" t="s">
        <v>8</v>
      </c>
      <c r="E2059" s="6">
        <f>VALUE(32995)</f>
        <v>32995</v>
      </c>
      <c r="F2059" s="5" t="s">
        <v>9</v>
      </c>
    </row>
    <row r="2060" spans="1:6">
      <c r="A2060" s="1" t="s">
        <v>6129</v>
      </c>
      <c r="B2060" s="4" t="s">
        <v>6130</v>
      </c>
      <c r="C2060" s="3" t="s">
        <v>6129</v>
      </c>
      <c r="D2060" s="5" t="s">
        <v>8</v>
      </c>
      <c r="E2060" s="6">
        <f>VALUE(6000)</f>
        <v>6000</v>
      </c>
      <c r="F2060" s="5" t="s">
        <v>9</v>
      </c>
    </row>
    <row r="2061" spans="1:6">
      <c r="A2061" s="1" t="s">
        <v>6131</v>
      </c>
      <c r="B2061" s="4" t="s">
        <v>6132</v>
      </c>
      <c r="C2061" s="3" t="s">
        <v>6133</v>
      </c>
      <c r="D2061" s="5" t="s">
        <v>8</v>
      </c>
      <c r="E2061" s="6">
        <f>VALUE(2495)</f>
        <v>2495</v>
      </c>
      <c r="F2061" s="5" t="s">
        <v>9</v>
      </c>
    </row>
    <row r="2062" spans="1:6">
      <c r="A2062" s="1" t="s">
        <v>6134</v>
      </c>
      <c r="B2062" s="4" t="s">
        <v>6135</v>
      </c>
      <c r="C2062" s="3" t="s">
        <v>6136</v>
      </c>
      <c r="D2062" s="5" t="s">
        <v>9</v>
      </c>
      <c r="E2062" s="6">
        <f>VALUE(0)</f>
        <v>0</v>
      </c>
      <c r="F2062" s="5" t="s">
        <v>6137</v>
      </c>
    </row>
    <row r="2063" spans="1:6" ht="43.5">
      <c r="A2063" s="1" t="s">
        <v>6138</v>
      </c>
      <c r="B2063" s="4" t="s">
        <v>6139</v>
      </c>
      <c r="C2063" s="3" t="s">
        <v>6140</v>
      </c>
      <c r="D2063" s="5" t="s">
        <v>8</v>
      </c>
      <c r="E2063" s="6">
        <f>VALUE(1655)</f>
        <v>1655</v>
      </c>
      <c r="F2063" s="5" t="s">
        <v>9</v>
      </c>
    </row>
    <row r="2064" spans="1:6" ht="43.5">
      <c r="A2064" s="1" t="s">
        <v>6141</v>
      </c>
      <c r="B2064" s="4" t="s">
        <v>6142</v>
      </c>
      <c r="C2064" s="3" t="s">
        <v>6143</v>
      </c>
      <c r="D2064" s="5" t="s">
        <v>8</v>
      </c>
      <c r="E2064" s="6">
        <f>VALUE(4515)</f>
        <v>4515</v>
      </c>
      <c r="F2064" s="5" t="s">
        <v>9</v>
      </c>
    </row>
    <row r="2065" spans="1:6" ht="43.5">
      <c r="A2065" s="1" t="s">
        <v>6144</v>
      </c>
      <c r="B2065" s="4" t="s">
        <v>6145</v>
      </c>
      <c r="C2065" s="3" t="s">
        <v>6146</v>
      </c>
      <c r="D2065" s="5" t="s">
        <v>8</v>
      </c>
      <c r="E2065" s="6">
        <f t="shared" ref="E2065:E2070" si="2">VALUE(1655)</f>
        <v>1655</v>
      </c>
      <c r="F2065" s="5" t="s">
        <v>9</v>
      </c>
    </row>
    <row r="2066" spans="1:6" ht="43.5">
      <c r="A2066" s="1" t="s">
        <v>6147</v>
      </c>
      <c r="B2066" s="4" t="s">
        <v>6148</v>
      </c>
      <c r="C2066" s="3" t="s">
        <v>6149</v>
      </c>
      <c r="D2066" s="5" t="s">
        <v>8</v>
      </c>
      <c r="E2066" s="6">
        <f t="shared" si="2"/>
        <v>1655</v>
      </c>
      <c r="F2066" s="5" t="s">
        <v>9</v>
      </c>
    </row>
    <row r="2067" spans="1:6" ht="43.5">
      <c r="A2067" s="1" t="s">
        <v>6150</v>
      </c>
      <c r="B2067" s="4" t="s">
        <v>6151</v>
      </c>
      <c r="C2067" s="3" t="s">
        <v>6152</v>
      </c>
      <c r="D2067" s="5" t="s">
        <v>8</v>
      </c>
      <c r="E2067" s="6">
        <f t="shared" si="2"/>
        <v>1655</v>
      </c>
      <c r="F2067" s="5" t="s">
        <v>9</v>
      </c>
    </row>
    <row r="2068" spans="1:6" ht="43.5">
      <c r="A2068" s="1" t="s">
        <v>6153</v>
      </c>
      <c r="B2068" s="4" t="s">
        <v>6154</v>
      </c>
      <c r="C2068" s="3" t="s">
        <v>6155</v>
      </c>
      <c r="D2068" s="5" t="s">
        <v>8</v>
      </c>
      <c r="E2068" s="6">
        <f t="shared" si="2"/>
        <v>1655</v>
      </c>
      <c r="F2068" s="5" t="s">
        <v>9</v>
      </c>
    </row>
    <row r="2069" spans="1:6" ht="43.5">
      <c r="A2069" s="1" t="s">
        <v>6156</v>
      </c>
      <c r="B2069" s="4" t="s">
        <v>6157</v>
      </c>
      <c r="C2069" s="3" t="s">
        <v>6158</v>
      </c>
      <c r="D2069" s="5" t="s">
        <v>8</v>
      </c>
      <c r="E2069" s="6">
        <f t="shared" si="2"/>
        <v>1655</v>
      </c>
      <c r="F2069" s="5" t="s">
        <v>9</v>
      </c>
    </row>
    <row r="2070" spans="1:6" ht="43.5">
      <c r="A2070" s="1" t="s">
        <v>6159</v>
      </c>
      <c r="B2070" s="4" t="s">
        <v>6160</v>
      </c>
      <c r="C2070" s="3" t="s">
        <v>6161</v>
      </c>
      <c r="D2070" s="5" t="s">
        <v>8</v>
      </c>
      <c r="E2070" s="6">
        <f t="shared" si="2"/>
        <v>1655</v>
      </c>
      <c r="F2070" s="5" t="s">
        <v>9</v>
      </c>
    </row>
    <row r="2071" spans="1:6" ht="43.5">
      <c r="A2071" s="1" t="s">
        <v>6162</v>
      </c>
      <c r="B2071" s="4" t="s">
        <v>6163</v>
      </c>
      <c r="C2071" s="3" t="s">
        <v>6164</v>
      </c>
      <c r="D2071" s="5" t="s">
        <v>8</v>
      </c>
      <c r="E2071" s="6">
        <f>VALUE(4515)</f>
        <v>4515</v>
      </c>
      <c r="F2071" s="5" t="s">
        <v>9</v>
      </c>
    </row>
    <row r="2072" spans="1:6" ht="43.5">
      <c r="A2072" s="1" t="s">
        <v>6165</v>
      </c>
      <c r="B2072" s="4" t="s">
        <v>6166</v>
      </c>
      <c r="C2072" s="3" t="s">
        <v>6167</v>
      </c>
      <c r="D2072" s="5" t="s">
        <v>8</v>
      </c>
      <c r="E2072" s="6">
        <f>VALUE(10685)</f>
        <v>10685</v>
      </c>
      <c r="F2072" s="5" t="s">
        <v>9</v>
      </c>
    </row>
    <row r="2073" spans="1:6" ht="43.5">
      <c r="A2073" s="1" t="s">
        <v>6168</v>
      </c>
      <c r="B2073" s="4" t="s">
        <v>6169</v>
      </c>
      <c r="C2073" s="3" t="s">
        <v>6170</v>
      </c>
      <c r="D2073" s="5" t="s">
        <v>8</v>
      </c>
      <c r="E2073" s="6">
        <f>VALUE(10685)</f>
        <v>10685</v>
      </c>
      <c r="F2073" s="5" t="s">
        <v>9</v>
      </c>
    </row>
    <row r="2074" spans="1:6">
      <c r="A2074" s="1" t="s">
        <v>6171</v>
      </c>
      <c r="B2074" s="4" t="s">
        <v>6172</v>
      </c>
      <c r="C2074" s="3" t="s">
        <v>6173</v>
      </c>
      <c r="D2074" s="5" t="s">
        <v>9</v>
      </c>
      <c r="E2074" s="6">
        <f>VALUE(955)</f>
        <v>955</v>
      </c>
      <c r="F2074" s="5" t="s">
        <v>9</v>
      </c>
    </row>
    <row r="2075" spans="1:6">
      <c r="A2075" s="1" t="s">
        <v>6174</v>
      </c>
      <c r="B2075" s="4" t="s">
        <v>6175</v>
      </c>
      <c r="C2075" s="3" t="s">
        <v>6176</v>
      </c>
      <c r="D2075" s="5" t="s">
        <v>9</v>
      </c>
      <c r="E2075" s="6">
        <f>VALUE(1185)</f>
        <v>1185</v>
      </c>
      <c r="F2075" s="5" t="s">
        <v>9</v>
      </c>
    </row>
    <row r="2076" spans="1:6" ht="29">
      <c r="A2076" s="1" t="s">
        <v>6177</v>
      </c>
      <c r="B2076" s="4" t="s">
        <v>6178</v>
      </c>
      <c r="C2076" s="3" t="s">
        <v>6179</v>
      </c>
      <c r="D2076" s="5" t="s">
        <v>8</v>
      </c>
      <c r="E2076" s="6">
        <f>VALUE(245)</f>
        <v>245</v>
      </c>
      <c r="F2076" s="5" t="s">
        <v>9</v>
      </c>
    </row>
    <row r="2077" spans="1:6">
      <c r="A2077" s="1" t="s">
        <v>6180</v>
      </c>
      <c r="B2077" s="4" t="s">
        <v>6181</v>
      </c>
      <c r="C2077" s="3" t="s">
        <v>6182</v>
      </c>
      <c r="D2077" s="5" t="s">
        <v>9</v>
      </c>
      <c r="E2077" s="6">
        <f>VALUE(25)</f>
        <v>25</v>
      </c>
      <c r="F2077" s="5" t="s">
        <v>9</v>
      </c>
    </row>
    <row r="2078" spans="1:6">
      <c r="A2078" s="1" t="s">
        <v>6183</v>
      </c>
      <c r="B2078" s="4" t="s">
        <v>6184</v>
      </c>
      <c r="C2078" s="3" t="s">
        <v>6185</v>
      </c>
      <c r="D2078" s="5" t="s">
        <v>9</v>
      </c>
      <c r="E2078" s="6">
        <f>VALUE(25)</f>
        <v>25</v>
      </c>
      <c r="F2078" s="5" t="s">
        <v>9</v>
      </c>
    </row>
    <row r="2079" spans="1:6">
      <c r="A2079" s="1" t="s">
        <v>6186</v>
      </c>
      <c r="B2079" s="4" t="s">
        <v>6187</v>
      </c>
      <c r="C2079" s="3" t="s">
        <v>6188</v>
      </c>
      <c r="D2079" s="5" t="s">
        <v>9</v>
      </c>
      <c r="E2079" s="6">
        <f>VALUE(25)</f>
        <v>25</v>
      </c>
      <c r="F2079" s="5" t="s">
        <v>9</v>
      </c>
    </row>
    <row r="2080" spans="1:6">
      <c r="A2080" s="1" t="s">
        <v>6189</v>
      </c>
      <c r="B2080" s="4" t="s">
        <v>6190</v>
      </c>
      <c r="C2080" s="3" t="s">
        <v>6191</v>
      </c>
      <c r="D2080" s="5" t="s">
        <v>9</v>
      </c>
      <c r="E2080" s="6">
        <f>VALUE(25)</f>
        <v>25</v>
      </c>
      <c r="F2080" s="5" t="s">
        <v>9</v>
      </c>
    </row>
    <row r="2081" spans="1:6">
      <c r="A2081" s="1" t="s">
        <v>6192</v>
      </c>
      <c r="B2081" s="4" t="s">
        <v>6193</v>
      </c>
      <c r="C2081" s="3" t="s">
        <v>6194</v>
      </c>
      <c r="D2081" s="5" t="s">
        <v>9</v>
      </c>
      <c r="E2081" s="6">
        <f>VALUE(25)</f>
        <v>25</v>
      </c>
      <c r="F2081" s="5" t="s">
        <v>9</v>
      </c>
    </row>
    <row r="2082" spans="1:6" ht="43.5">
      <c r="A2082" s="1" t="s">
        <v>6195</v>
      </c>
      <c r="B2082" s="4" t="s">
        <v>6196</v>
      </c>
      <c r="C2082" s="3" t="s">
        <v>6197</v>
      </c>
      <c r="D2082" s="5" t="s">
        <v>9</v>
      </c>
      <c r="E2082" s="6">
        <f>VALUE(32075)</f>
        <v>32075</v>
      </c>
      <c r="F2082" s="5" t="s">
        <v>9</v>
      </c>
    </row>
    <row r="2083" spans="1:6" ht="43.5">
      <c r="A2083" s="1" t="s">
        <v>6198</v>
      </c>
      <c r="B2083" s="4" t="s">
        <v>6199</v>
      </c>
      <c r="C2083" s="3" t="s">
        <v>6200</v>
      </c>
      <c r="D2083" s="5" t="s">
        <v>9</v>
      </c>
      <c r="E2083" s="6">
        <f>VALUE(33265)</f>
        <v>33265</v>
      </c>
      <c r="F2083" s="5" t="s">
        <v>9</v>
      </c>
    </row>
    <row r="2084" spans="1:6" ht="43.5">
      <c r="A2084" s="1" t="s">
        <v>6201</v>
      </c>
      <c r="B2084" s="4" t="s">
        <v>6202</v>
      </c>
      <c r="C2084" s="3" t="s">
        <v>6203</v>
      </c>
      <c r="D2084" s="5" t="s">
        <v>9</v>
      </c>
      <c r="E2084" s="6">
        <f>VALUE(19005)</f>
        <v>19005</v>
      </c>
      <c r="F2084" s="5" t="s">
        <v>9</v>
      </c>
    </row>
    <row r="2085" spans="1:6" ht="43.5">
      <c r="A2085" s="1" t="s">
        <v>6204</v>
      </c>
      <c r="B2085" s="4" t="s">
        <v>6205</v>
      </c>
      <c r="C2085" s="3" t="s">
        <v>6206</v>
      </c>
      <c r="D2085" s="5" t="s">
        <v>9</v>
      </c>
      <c r="E2085" s="6">
        <f>VALUE(20195)</f>
        <v>20195</v>
      </c>
      <c r="F2085" s="5" t="s">
        <v>9</v>
      </c>
    </row>
    <row r="2086" spans="1:6" ht="29">
      <c r="A2086" s="1" t="s">
        <v>6207</v>
      </c>
      <c r="B2086" s="4" t="s">
        <v>6208</v>
      </c>
      <c r="C2086" s="3" t="s">
        <v>6209</v>
      </c>
      <c r="D2086" s="5" t="s">
        <v>8</v>
      </c>
      <c r="E2086" s="6">
        <f>VALUE(13205)</f>
        <v>13205</v>
      </c>
      <c r="F2086" s="5" t="s">
        <v>9</v>
      </c>
    </row>
    <row r="2087" spans="1:6">
      <c r="A2087" s="1" t="s">
        <v>6210</v>
      </c>
      <c r="B2087" s="4" t="s">
        <v>6211</v>
      </c>
      <c r="C2087" s="3" t="s">
        <v>6212</v>
      </c>
      <c r="D2087" s="5" t="s">
        <v>9</v>
      </c>
      <c r="E2087" s="6">
        <f>VALUE(4395)</f>
        <v>4395</v>
      </c>
      <c r="F2087" s="5" t="s">
        <v>9</v>
      </c>
    </row>
    <row r="2088" spans="1:6" ht="43.5">
      <c r="A2088" s="1" t="s">
        <v>6213</v>
      </c>
      <c r="B2088" s="4" t="s">
        <v>6214</v>
      </c>
      <c r="C2088" s="3" t="s">
        <v>6215</v>
      </c>
      <c r="D2088" s="5" t="s">
        <v>9</v>
      </c>
      <c r="E2088" s="6">
        <f>VALUE(605)</f>
        <v>605</v>
      </c>
      <c r="F2088" s="5" t="s">
        <v>9</v>
      </c>
    </row>
    <row r="2089" spans="1:6">
      <c r="A2089" s="1" t="s">
        <v>6216</v>
      </c>
      <c r="B2089" s="4" t="s">
        <v>6217</v>
      </c>
      <c r="C2089" s="3" t="s">
        <v>6218</v>
      </c>
      <c r="D2089" s="5" t="s">
        <v>9</v>
      </c>
      <c r="E2089" s="6">
        <f>VALUE(195)</f>
        <v>195</v>
      </c>
      <c r="F2089" s="5" t="s">
        <v>9</v>
      </c>
    </row>
    <row r="2090" spans="1:6" ht="58">
      <c r="A2090" s="1" t="s">
        <v>6219</v>
      </c>
      <c r="B2090" s="4" t="s">
        <v>6220</v>
      </c>
      <c r="C2090" s="3" t="s">
        <v>6221</v>
      </c>
      <c r="D2090" s="5" t="s">
        <v>8</v>
      </c>
      <c r="E2090" s="6">
        <f>VALUE(29695)</f>
        <v>29695</v>
      </c>
      <c r="F2090" s="5" t="s">
        <v>9</v>
      </c>
    </row>
    <row r="2091" spans="1:6" ht="29">
      <c r="A2091" s="1" t="s">
        <v>6222</v>
      </c>
      <c r="B2091" s="4" t="s">
        <v>6223</v>
      </c>
      <c r="C2091" s="3" t="s">
        <v>6224</v>
      </c>
      <c r="D2091" s="5" t="s">
        <v>9</v>
      </c>
      <c r="E2091" s="6">
        <f>VALUE(16495)</f>
        <v>16495</v>
      </c>
      <c r="F2091" s="5" t="s">
        <v>9</v>
      </c>
    </row>
    <row r="2092" spans="1:6" ht="43.5">
      <c r="A2092" s="1" t="s">
        <v>6225</v>
      </c>
      <c r="B2092" s="4" t="s">
        <v>6226</v>
      </c>
      <c r="C2092" s="3" t="s">
        <v>6227</v>
      </c>
      <c r="D2092" s="5" t="s">
        <v>9</v>
      </c>
      <c r="E2092" s="6">
        <f>VALUE(7695)</f>
        <v>7695</v>
      </c>
      <c r="F2092" s="5" t="s">
        <v>9</v>
      </c>
    </row>
    <row r="2093" spans="1:6" ht="43.5">
      <c r="A2093" s="1" t="s">
        <v>6228</v>
      </c>
      <c r="B2093" s="4" t="s">
        <v>6229</v>
      </c>
      <c r="C2093" s="3" t="s">
        <v>6230</v>
      </c>
      <c r="D2093" s="5" t="s">
        <v>9</v>
      </c>
      <c r="E2093" s="6">
        <f>VALUE(14995)</f>
        <v>14995</v>
      </c>
      <c r="F2093" s="5" t="s">
        <v>9</v>
      </c>
    </row>
    <row r="2094" spans="1:6" ht="43.5">
      <c r="A2094" s="1" t="s">
        <v>6231</v>
      </c>
      <c r="B2094" s="4" t="s">
        <v>6232</v>
      </c>
      <c r="C2094" s="3" t="s">
        <v>6233</v>
      </c>
      <c r="D2094" s="5" t="s">
        <v>8</v>
      </c>
      <c r="E2094" s="6">
        <f>VALUE(1105)</f>
        <v>1105</v>
      </c>
      <c r="F2094" s="5" t="s">
        <v>9</v>
      </c>
    </row>
    <row r="2095" spans="1:6" ht="43.5">
      <c r="A2095" s="1" t="s">
        <v>6234</v>
      </c>
      <c r="B2095" s="4" t="s">
        <v>6235</v>
      </c>
      <c r="C2095" s="3" t="s">
        <v>6236</v>
      </c>
      <c r="D2095" s="5" t="s">
        <v>8</v>
      </c>
      <c r="E2095" s="6">
        <f>VALUE(1655)</f>
        <v>1655</v>
      </c>
      <c r="F2095" s="5" t="s">
        <v>9</v>
      </c>
    </row>
    <row r="2096" spans="1:6" ht="43.5">
      <c r="A2096" s="1" t="s">
        <v>6237</v>
      </c>
      <c r="B2096" s="4" t="s">
        <v>6238</v>
      </c>
      <c r="C2096" s="3" t="s">
        <v>6239</v>
      </c>
      <c r="D2096" s="5" t="s">
        <v>8</v>
      </c>
      <c r="E2096" s="6">
        <f>VALUE(1655)</f>
        <v>1655</v>
      </c>
      <c r="F2096" s="5" t="s">
        <v>9</v>
      </c>
    </row>
    <row r="2097" spans="1:6" ht="29">
      <c r="A2097" s="1" t="s">
        <v>6240</v>
      </c>
      <c r="B2097" s="4" t="s">
        <v>6241</v>
      </c>
      <c r="C2097" s="3" t="s">
        <v>6242</v>
      </c>
      <c r="D2097" s="5" t="s">
        <v>8</v>
      </c>
      <c r="E2097" s="6">
        <f>VALUE(365)</f>
        <v>365</v>
      </c>
      <c r="F2097" s="5" t="s">
        <v>9</v>
      </c>
    </row>
    <row r="2098" spans="1:6" ht="43.5">
      <c r="A2098" s="1" t="s">
        <v>6243</v>
      </c>
      <c r="B2098" s="4" t="s">
        <v>6244</v>
      </c>
      <c r="C2098" s="3" t="s">
        <v>6245</v>
      </c>
      <c r="D2098" s="5" t="s">
        <v>9</v>
      </c>
      <c r="E2098" s="6">
        <f>VALUE(7725)</f>
        <v>7725</v>
      </c>
      <c r="F2098" s="5" t="s">
        <v>9</v>
      </c>
    </row>
    <row r="2099" spans="1:6" ht="43.5">
      <c r="A2099" s="1" t="s">
        <v>6246</v>
      </c>
      <c r="B2099" s="4" t="s">
        <v>6247</v>
      </c>
      <c r="C2099" s="3" t="s">
        <v>6248</v>
      </c>
      <c r="D2099" s="5" t="s">
        <v>8</v>
      </c>
      <c r="E2099" s="6">
        <f>VALUE(65995)</f>
        <v>65995</v>
      </c>
      <c r="F2099" s="5" t="s">
        <v>9</v>
      </c>
    </row>
    <row r="2100" spans="1:6" ht="43.5">
      <c r="A2100" s="1" t="s">
        <v>6249</v>
      </c>
      <c r="B2100" s="4" t="s">
        <v>6250</v>
      </c>
      <c r="C2100" s="3" t="s">
        <v>6251</v>
      </c>
      <c r="D2100" s="5" t="s">
        <v>8</v>
      </c>
      <c r="E2100" s="6">
        <f>VALUE(43995)</f>
        <v>43995</v>
      </c>
      <c r="F2100" s="5" t="s">
        <v>9</v>
      </c>
    </row>
    <row r="2101" spans="1:6" ht="58">
      <c r="A2101" s="1" t="s">
        <v>6252</v>
      </c>
      <c r="B2101" s="4" t="s">
        <v>6253</v>
      </c>
      <c r="C2101" s="3" t="s">
        <v>6254</v>
      </c>
      <c r="D2101" s="5" t="s">
        <v>8</v>
      </c>
      <c r="E2101" s="6">
        <f>VALUE(1105)</f>
        <v>1105</v>
      </c>
      <c r="F2101" s="5" t="s">
        <v>9</v>
      </c>
    </row>
    <row r="2102" spans="1:6" ht="43.5">
      <c r="A2102" s="1" t="s">
        <v>6255</v>
      </c>
      <c r="B2102" s="4" t="s">
        <v>6256</v>
      </c>
      <c r="C2102" s="3" t="s">
        <v>6257</v>
      </c>
      <c r="D2102" s="5" t="s">
        <v>8</v>
      </c>
      <c r="E2102" s="6">
        <f>VALUE(725)</f>
        <v>725</v>
      </c>
      <c r="F2102" s="5" t="s">
        <v>9</v>
      </c>
    </row>
    <row r="2103" spans="1:6" ht="43.5">
      <c r="A2103" s="1" t="s">
        <v>6258</v>
      </c>
      <c r="B2103" s="4" t="s">
        <v>6259</v>
      </c>
      <c r="C2103" s="3" t="s">
        <v>6260</v>
      </c>
      <c r="D2103" s="5" t="s">
        <v>8</v>
      </c>
      <c r="E2103" s="6">
        <f>VALUE(1355)</f>
        <v>1355</v>
      </c>
      <c r="F2103" s="5" t="s">
        <v>9</v>
      </c>
    </row>
    <row r="2104" spans="1:6" ht="58">
      <c r="A2104" s="1" t="s">
        <v>6261</v>
      </c>
      <c r="B2104" s="4" t="s">
        <v>6262</v>
      </c>
      <c r="C2104" s="3" t="s">
        <v>6263</v>
      </c>
      <c r="D2104" s="5" t="s">
        <v>8</v>
      </c>
      <c r="E2104" s="6">
        <f>VALUE(1650)</f>
        <v>1650</v>
      </c>
      <c r="F2104" s="5" t="s">
        <v>9</v>
      </c>
    </row>
    <row r="2105" spans="1:6" ht="58">
      <c r="A2105" s="1" t="s">
        <v>6264</v>
      </c>
      <c r="B2105" s="4" t="s">
        <v>6265</v>
      </c>
      <c r="C2105" s="3" t="s">
        <v>6266</v>
      </c>
      <c r="D2105" s="5" t="s">
        <v>8</v>
      </c>
      <c r="E2105" s="6">
        <f>VALUE(3275)</f>
        <v>3275</v>
      </c>
      <c r="F2105" s="5" t="s">
        <v>9</v>
      </c>
    </row>
    <row r="2106" spans="1:6" ht="58">
      <c r="A2106" s="1" t="s">
        <v>6267</v>
      </c>
      <c r="B2106" s="4" t="s">
        <v>6268</v>
      </c>
      <c r="C2106" s="3" t="s">
        <v>6269</v>
      </c>
      <c r="D2106" s="5" t="s">
        <v>8</v>
      </c>
      <c r="E2106" s="6">
        <f>VALUE(22925)</f>
        <v>22925</v>
      </c>
      <c r="F2106" s="5" t="s">
        <v>9</v>
      </c>
    </row>
    <row r="2107" spans="1:6" ht="58">
      <c r="A2107" s="1" t="s">
        <v>6270</v>
      </c>
      <c r="B2107" s="4" t="s">
        <v>6271</v>
      </c>
      <c r="C2107" s="3" t="s">
        <v>6272</v>
      </c>
      <c r="D2107" s="5" t="s">
        <v>8</v>
      </c>
      <c r="E2107" s="6">
        <f>VALUE(160525)</f>
        <v>160525</v>
      </c>
      <c r="F2107" s="5" t="s">
        <v>9</v>
      </c>
    </row>
    <row r="2108" spans="1:6" ht="58">
      <c r="A2108" s="1" t="s">
        <v>6273</v>
      </c>
      <c r="B2108" s="4" t="s">
        <v>6274</v>
      </c>
      <c r="C2108" s="3" t="s">
        <v>6275</v>
      </c>
      <c r="D2108" s="5" t="s">
        <v>8</v>
      </c>
      <c r="E2108" s="6">
        <f>VALUE(2350)</f>
        <v>2350</v>
      </c>
      <c r="F2108" s="5" t="s">
        <v>6276</v>
      </c>
    </row>
    <row r="2109" spans="1:6" ht="58">
      <c r="A2109" s="1" t="s">
        <v>6277</v>
      </c>
      <c r="B2109" s="4" t="s">
        <v>6278</v>
      </c>
      <c r="C2109" s="3" t="s">
        <v>6279</v>
      </c>
      <c r="D2109" s="5" t="s">
        <v>8</v>
      </c>
      <c r="E2109" s="6">
        <f>VALUE(4675)</f>
        <v>4675</v>
      </c>
      <c r="F2109" s="5" t="s">
        <v>9</v>
      </c>
    </row>
    <row r="2110" spans="1:6" ht="58">
      <c r="A2110" s="1" t="s">
        <v>6280</v>
      </c>
      <c r="B2110" s="4" t="s">
        <v>6281</v>
      </c>
      <c r="C2110" s="3" t="s">
        <v>6282</v>
      </c>
      <c r="D2110" s="5" t="s">
        <v>8</v>
      </c>
      <c r="E2110" s="6">
        <f>VALUE(32750)</f>
        <v>32750</v>
      </c>
      <c r="F2110" s="5" t="s">
        <v>9</v>
      </c>
    </row>
    <row r="2111" spans="1:6" ht="58">
      <c r="A2111" s="1" t="s">
        <v>6283</v>
      </c>
      <c r="B2111" s="4" t="s">
        <v>6284</v>
      </c>
      <c r="C2111" s="3" t="s">
        <v>6285</v>
      </c>
      <c r="D2111" s="5" t="s">
        <v>8</v>
      </c>
      <c r="E2111" s="6">
        <f>VALUE(229325)</f>
        <v>229325</v>
      </c>
      <c r="F2111" s="5" t="s">
        <v>9</v>
      </c>
    </row>
    <row r="2112" spans="1:6">
      <c r="A2112" s="1" t="s">
        <v>6286</v>
      </c>
      <c r="B2112" s="4" t="s">
        <v>6287</v>
      </c>
      <c r="C2112" s="3" t="s">
        <v>6288</v>
      </c>
      <c r="D2112" s="5" t="s">
        <v>9</v>
      </c>
      <c r="E2112" s="6">
        <f>VALUE(595)</f>
        <v>595</v>
      </c>
      <c r="F2112" s="5" t="s">
        <v>9</v>
      </c>
    </row>
    <row r="2113" spans="1:6">
      <c r="A2113" s="1" t="s">
        <v>6289</v>
      </c>
      <c r="B2113" s="4" t="s">
        <v>6290</v>
      </c>
      <c r="C2113" s="3" t="s">
        <v>6291</v>
      </c>
      <c r="D2113" s="5" t="s">
        <v>8</v>
      </c>
      <c r="E2113" s="6">
        <f>VALUE(1785)</f>
        <v>1785</v>
      </c>
      <c r="F2113" s="5" t="s">
        <v>9</v>
      </c>
    </row>
    <row r="2114" spans="1:6">
      <c r="A2114" s="1" t="s">
        <v>6292</v>
      </c>
      <c r="B2114" s="4" t="s">
        <v>6293</v>
      </c>
      <c r="C2114" s="3" t="s">
        <v>6294</v>
      </c>
      <c r="D2114" s="5" t="s">
        <v>8</v>
      </c>
      <c r="E2114" s="6">
        <f>VALUE(2615)</f>
        <v>2615</v>
      </c>
      <c r="F2114" s="5" t="s">
        <v>9</v>
      </c>
    </row>
    <row r="2115" spans="1:6">
      <c r="A2115" s="1" t="s">
        <v>6295</v>
      </c>
      <c r="B2115" s="4" t="s">
        <v>6296</v>
      </c>
      <c r="C2115" s="3" t="s">
        <v>6295</v>
      </c>
      <c r="D2115" s="5" t="s">
        <v>9</v>
      </c>
      <c r="E2115" s="6">
        <f>VALUE(4995)</f>
        <v>4995</v>
      </c>
      <c r="F2115" s="5" t="s">
        <v>6297</v>
      </c>
    </row>
    <row r="2116" spans="1:6" ht="29">
      <c r="A2116" s="1" t="s">
        <v>6298</v>
      </c>
      <c r="B2116" s="4" t="s">
        <v>6299</v>
      </c>
      <c r="C2116" s="3" t="s">
        <v>6298</v>
      </c>
      <c r="D2116" s="5" t="s">
        <v>9</v>
      </c>
      <c r="E2116" s="6">
        <f>VALUE(3995)</f>
        <v>3995</v>
      </c>
      <c r="F2116" s="5" t="s">
        <v>6297</v>
      </c>
    </row>
    <row r="2117" spans="1:6">
      <c r="A2117" s="1" t="s">
        <v>6300</v>
      </c>
      <c r="B2117" s="4" t="s">
        <v>6301</v>
      </c>
      <c r="C2117" s="3" t="s">
        <v>6302</v>
      </c>
      <c r="D2117" s="5" t="s">
        <v>9</v>
      </c>
      <c r="E2117" s="6">
        <f>VALUE(23755)</f>
        <v>23755</v>
      </c>
      <c r="F2117" s="5" t="s">
        <v>6303</v>
      </c>
    </row>
    <row r="2118" spans="1:6" ht="29">
      <c r="A2118" s="1" t="s">
        <v>6304</v>
      </c>
      <c r="B2118" s="4" t="s">
        <v>6305</v>
      </c>
      <c r="C2118" s="3" t="s">
        <v>6306</v>
      </c>
      <c r="D2118" s="5" t="s">
        <v>9</v>
      </c>
      <c r="E2118" s="6">
        <f>VALUE(595)</f>
        <v>595</v>
      </c>
      <c r="F2118" s="5" t="s">
        <v>55</v>
      </c>
    </row>
    <row r="2119" spans="1:6" ht="43.5">
      <c r="A2119" s="1" t="s">
        <v>6307</v>
      </c>
      <c r="B2119" s="4" t="s">
        <v>6308</v>
      </c>
      <c r="C2119" s="3" t="s">
        <v>6309</v>
      </c>
      <c r="D2119" s="5" t="s">
        <v>9</v>
      </c>
      <c r="E2119" s="6">
        <f>VALUE(41575)</f>
        <v>41575</v>
      </c>
      <c r="F2119" s="5" t="s">
        <v>55</v>
      </c>
    </row>
    <row r="2120" spans="1:6" ht="43.5">
      <c r="A2120" s="1" t="s">
        <v>6310</v>
      </c>
      <c r="B2120" s="4" t="s">
        <v>6311</v>
      </c>
      <c r="C2120" s="3" t="s">
        <v>6312</v>
      </c>
      <c r="D2120" s="5" t="s">
        <v>9</v>
      </c>
      <c r="E2120" s="6">
        <f>VALUE(65335)</f>
        <v>65335</v>
      </c>
      <c r="F2120" s="5" t="s">
        <v>55</v>
      </c>
    </row>
    <row r="2121" spans="1:6" ht="43.5">
      <c r="A2121" s="1" t="s">
        <v>6313</v>
      </c>
      <c r="B2121" s="4" t="s">
        <v>6314</v>
      </c>
      <c r="C2121" s="3" t="s">
        <v>6315</v>
      </c>
      <c r="D2121" s="5" t="s">
        <v>9</v>
      </c>
      <c r="E2121" s="6">
        <f>VALUE(41575)</f>
        <v>41575</v>
      </c>
      <c r="F2121" s="5" t="s">
        <v>55</v>
      </c>
    </row>
    <row r="2122" spans="1:6" ht="43.5">
      <c r="A2122" s="1" t="s">
        <v>6316</v>
      </c>
      <c r="B2122" s="4" t="s">
        <v>6317</v>
      </c>
      <c r="C2122" s="3" t="s">
        <v>6318</v>
      </c>
      <c r="D2122" s="5" t="s">
        <v>9</v>
      </c>
      <c r="E2122" s="6">
        <f>VALUE(65335)</f>
        <v>65335</v>
      </c>
      <c r="F2122" s="5" t="s">
        <v>55</v>
      </c>
    </row>
    <row r="2123" spans="1:6" ht="43.5">
      <c r="A2123" s="1" t="s">
        <v>6319</v>
      </c>
      <c r="B2123" s="4" t="s">
        <v>6320</v>
      </c>
      <c r="C2123" s="3" t="s">
        <v>6321</v>
      </c>
      <c r="D2123" s="5" t="s">
        <v>8</v>
      </c>
      <c r="E2123" s="6">
        <f>VALUE(5935)</f>
        <v>5935</v>
      </c>
      <c r="F2123" s="5" t="s">
        <v>55</v>
      </c>
    </row>
    <row r="2124" spans="1:6" ht="58">
      <c r="A2124" s="1" t="s">
        <v>6322</v>
      </c>
      <c r="B2124" s="4" t="s">
        <v>6323</v>
      </c>
      <c r="C2124" s="3" t="s">
        <v>6324</v>
      </c>
      <c r="D2124" s="5" t="s">
        <v>8</v>
      </c>
      <c r="E2124" s="6">
        <f>VALUE(2375)</f>
        <v>2375</v>
      </c>
      <c r="F2124" s="5" t="s">
        <v>55</v>
      </c>
    </row>
    <row r="2125" spans="1:6" ht="58">
      <c r="A2125" s="1" t="s">
        <v>6325</v>
      </c>
      <c r="B2125" s="4" t="s">
        <v>6326</v>
      </c>
      <c r="C2125" s="3" t="s">
        <v>6327</v>
      </c>
      <c r="D2125" s="5" t="s">
        <v>8</v>
      </c>
      <c r="E2125" s="6">
        <f>VALUE(2375)</f>
        <v>2375</v>
      </c>
      <c r="F2125" s="5" t="s">
        <v>55</v>
      </c>
    </row>
    <row r="2126" spans="1:6" ht="29">
      <c r="A2126" s="1" t="s">
        <v>6328</v>
      </c>
      <c r="B2126" s="4" t="s">
        <v>6329</v>
      </c>
      <c r="C2126" s="3" t="s">
        <v>6328</v>
      </c>
      <c r="D2126" s="5" t="s">
        <v>9</v>
      </c>
      <c r="E2126" s="6">
        <f>VALUE(1495)</f>
        <v>1495</v>
      </c>
      <c r="F2126" s="5" t="s">
        <v>6330</v>
      </c>
    </row>
    <row r="2127" spans="1:6" ht="29">
      <c r="A2127" s="1" t="s">
        <v>6331</v>
      </c>
      <c r="B2127" s="4" t="s">
        <v>6332</v>
      </c>
      <c r="C2127" s="3" t="s">
        <v>6331</v>
      </c>
      <c r="D2127" s="5" t="s">
        <v>9</v>
      </c>
      <c r="E2127" s="6">
        <f>VALUE(1495)</f>
        <v>1495</v>
      </c>
      <c r="F2127" s="5" t="s">
        <v>6330</v>
      </c>
    </row>
    <row r="2128" spans="1:6" ht="29">
      <c r="A2128" s="1" t="s">
        <v>6333</v>
      </c>
      <c r="B2128" s="4" t="s">
        <v>6334</v>
      </c>
      <c r="C2128" s="3" t="s">
        <v>6333</v>
      </c>
      <c r="D2128" s="5" t="s">
        <v>9</v>
      </c>
      <c r="E2128" s="6">
        <f>VALUE(1495)</f>
        <v>1495</v>
      </c>
      <c r="F2128" s="5" t="s">
        <v>6330</v>
      </c>
    </row>
    <row r="2129" spans="1:6" ht="58">
      <c r="A2129" s="1" t="s">
        <v>6335</v>
      </c>
      <c r="B2129" s="4" t="s">
        <v>6336</v>
      </c>
      <c r="C2129" s="3" t="s">
        <v>6335</v>
      </c>
      <c r="D2129" s="5" t="s">
        <v>8</v>
      </c>
      <c r="E2129" s="6">
        <f>VALUE(2395)</f>
        <v>2395</v>
      </c>
      <c r="F2129" s="5" t="s">
        <v>9</v>
      </c>
    </row>
    <row r="2130" spans="1:6" ht="29">
      <c r="A2130" s="1" t="s">
        <v>6337</v>
      </c>
      <c r="B2130" s="4" t="s">
        <v>6338</v>
      </c>
      <c r="C2130" s="3" t="s">
        <v>6337</v>
      </c>
      <c r="D2130" s="5" t="s">
        <v>8</v>
      </c>
      <c r="E2130" s="6">
        <f>VALUE(22615)</f>
        <v>22615</v>
      </c>
      <c r="F2130" s="5" t="s">
        <v>9</v>
      </c>
    </row>
    <row r="2131" spans="1:6" ht="29">
      <c r="A2131" s="1" t="s">
        <v>6339</v>
      </c>
      <c r="B2131" s="4" t="s">
        <v>6340</v>
      </c>
      <c r="C2131" s="3" t="s">
        <v>6341</v>
      </c>
      <c r="D2131" s="5" t="s">
        <v>8</v>
      </c>
      <c r="E2131" s="6">
        <f>VALUE(965)</f>
        <v>965</v>
      </c>
      <c r="F2131" s="5" t="s">
        <v>9</v>
      </c>
    </row>
    <row r="2132" spans="1:6" ht="58">
      <c r="A2132" s="1" t="s">
        <v>6342</v>
      </c>
      <c r="B2132" s="4" t="s">
        <v>6343</v>
      </c>
      <c r="C2132" s="3" t="s">
        <v>6342</v>
      </c>
      <c r="D2132" s="5" t="s">
        <v>8</v>
      </c>
      <c r="E2132" s="6">
        <f>VALUE(3395)</f>
        <v>3395</v>
      </c>
      <c r="F2132" s="5" t="s">
        <v>9</v>
      </c>
    </row>
    <row r="2133" spans="1:6" ht="29">
      <c r="A2133" s="1" t="s">
        <v>6344</v>
      </c>
      <c r="B2133" s="4" t="s">
        <v>6345</v>
      </c>
      <c r="C2133" s="3" t="s">
        <v>6344</v>
      </c>
      <c r="D2133" s="5" t="s">
        <v>8</v>
      </c>
      <c r="E2133" s="6">
        <f>VALUE(22615)</f>
        <v>22615</v>
      </c>
      <c r="F2133" s="5" t="s">
        <v>9</v>
      </c>
    </row>
    <row r="2134" spans="1:6" ht="29">
      <c r="A2134" s="1" t="s">
        <v>6346</v>
      </c>
      <c r="B2134" s="4" t="s">
        <v>6347</v>
      </c>
      <c r="C2134" s="3" t="s">
        <v>6348</v>
      </c>
      <c r="D2134" s="5" t="s">
        <v>8</v>
      </c>
      <c r="E2134" s="6">
        <f>VALUE(965)</f>
        <v>965</v>
      </c>
      <c r="F2134" s="5" t="s">
        <v>9</v>
      </c>
    </row>
    <row r="2135" spans="1:6" ht="58">
      <c r="A2135" s="1" t="s">
        <v>6349</v>
      </c>
      <c r="B2135" s="4" t="s">
        <v>6350</v>
      </c>
      <c r="C2135" s="3" t="s">
        <v>6349</v>
      </c>
      <c r="D2135" s="5" t="s">
        <v>8</v>
      </c>
      <c r="E2135" s="6">
        <f>VALUE(2395)</f>
        <v>2395</v>
      </c>
      <c r="F2135" s="5" t="s">
        <v>9</v>
      </c>
    </row>
    <row r="2136" spans="1:6" ht="29">
      <c r="A2136" s="1" t="s">
        <v>6351</v>
      </c>
      <c r="B2136" s="4" t="s">
        <v>6352</v>
      </c>
      <c r="C2136" s="3" t="s">
        <v>6351</v>
      </c>
      <c r="D2136" s="5" t="s">
        <v>8</v>
      </c>
      <c r="E2136" s="6">
        <f>VALUE(12115)</f>
        <v>12115</v>
      </c>
      <c r="F2136" s="5" t="s">
        <v>9</v>
      </c>
    </row>
    <row r="2137" spans="1:6" ht="29">
      <c r="A2137" s="1" t="s">
        <v>6353</v>
      </c>
      <c r="B2137" s="4" t="s">
        <v>6354</v>
      </c>
      <c r="C2137" s="3" t="s">
        <v>6355</v>
      </c>
      <c r="D2137" s="5" t="s">
        <v>8</v>
      </c>
      <c r="E2137" s="6">
        <f>VALUE(515)</f>
        <v>515</v>
      </c>
      <c r="F2137" s="5" t="s">
        <v>9</v>
      </c>
    </row>
    <row r="2138" spans="1:6" ht="58">
      <c r="A2138" s="1" t="s">
        <v>6356</v>
      </c>
      <c r="B2138" s="4" t="s">
        <v>6357</v>
      </c>
      <c r="C2138" s="3" t="s">
        <v>6356</v>
      </c>
      <c r="D2138" s="5" t="s">
        <v>8</v>
      </c>
      <c r="E2138" s="6">
        <f>VALUE(3395)</f>
        <v>3395</v>
      </c>
      <c r="F2138" s="5" t="s">
        <v>9</v>
      </c>
    </row>
    <row r="2139" spans="1:6" ht="29">
      <c r="A2139" s="1" t="s">
        <v>6358</v>
      </c>
      <c r="B2139" s="4" t="s">
        <v>6359</v>
      </c>
      <c r="C2139" s="3" t="s">
        <v>6358</v>
      </c>
      <c r="D2139" s="5" t="s">
        <v>8</v>
      </c>
      <c r="E2139" s="6">
        <f>VALUE(12115)</f>
        <v>12115</v>
      </c>
      <c r="F2139" s="5" t="s">
        <v>9</v>
      </c>
    </row>
    <row r="2140" spans="1:6" ht="29">
      <c r="A2140" s="1" t="s">
        <v>6360</v>
      </c>
      <c r="B2140" s="4" t="s">
        <v>6361</v>
      </c>
      <c r="C2140" s="3" t="s">
        <v>6362</v>
      </c>
      <c r="D2140" s="5" t="s">
        <v>8</v>
      </c>
      <c r="E2140" s="6">
        <f>VALUE(515)</f>
        <v>515</v>
      </c>
      <c r="F2140" s="5" t="s">
        <v>9</v>
      </c>
    </row>
    <row r="2141" spans="1:6" ht="58">
      <c r="A2141" s="1" t="s">
        <v>6363</v>
      </c>
      <c r="B2141" s="4" t="s">
        <v>6364</v>
      </c>
      <c r="C2141" s="3" t="s">
        <v>6365</v>
      </c>
      <c r="D2141" s="5" t="s">
        <v>8</v>
      </c>
      <c r="E2141" s="6">
        <f>VALUE(3055)</f>
        <v>3055</v>
      </c>
      <c r="F2141" s="5" t="s">
        <v>9</v>
      </c>
    </row>
    <row r="2142" spans="1:6" ht="29">
      <c r="A2142" s="1" t="s">
        <v>6366</v>
      </c>
      <c r="B2142" s="4" t="s">
        <v>6367</v>
      </c>
      <c r="C2142" s="3" t="s">
        <v>6366</v>
      </c>
      <c r="D2142" s="5" t="s">
        <v>8</v>
      </c>
      <c r="E2142" s="6">
        <f>VALUE(24465)</f>
        <v>24465</v>
      </c>
      <c r="F2142" s="5" t="s">
        <v>9</v>
      </c>
    </row>
    <row r="2143" spans="1:6" ht="29">
      <c r="A2143" s="1" t="s">
        <v>6368</v>
      </c>
      <c r="B2143" s="4" t="s">
        <v>6369</v>
      </c>
      <c r="C2143" s="3" t="s">
        <v>6370</v>
      </c>
      <c r="D2143" s="5" t="s">
        <v>8</v>
      </c>
      <c r="E2143" s="6">
        <f>VALUE(1035)</f>
        <v>1035</v>
      </c>
      <c r="F2143" s="5" t="s">
        <v>9</v>
      </c>
    </row>
    <row r="2144" spans="1:6" ht="58">
      <c r="A2144" s="1" t="s">
        <v>6371</v>
      </c>
      <c r="B2144" s="4" t="s">
        <v>6372</v>
      </c>
      <c r="C2144" s="3" t="s">
        <v>6373</v>
      </c>
      <c r="D2144" s="5" t="s">
        <v>8</v>
      </c>
      <c r="E2144" s="6">
        <f>VALUE(4215)</f>
        <v>4215</v>
      </c>
      <c r="F2144" s="5" t="s">
        <v>9</v>
      </c>
    </row>
    <row r="2145" spans="1:6" ht="29">
      <c r="A2145" s="1" t="s">
        <v>6374</v>
      </c>
      <c r="B2145" s="4" t="s">
        <v>6375</v>
      </c>
      <c r="C2145" s="3" t="s">
        <v>6374</v>
      </c>
      <c r="D2145" s="5" t="s">
        <v>8</v>
      </c>
      <c r="E2145" s="6">
        <f>VALUE(24465)</f>
        <v>24465</v>
      </c>
      <c r="F2145" s="5" t="s">
        <v>9</v>
      </c>
    </row>
    <row r="2146" spans="1:6" ht="29">
      <c r="A2146" s="1" t="s">
        <v>6376</v>
      </c>
      <c r="B2146" s="4" t="s">
        <v>6377</v>
      </c>
      <c r="C2146" s="3" t="s">
        <v>6378</v>
      </c>
      <c r="D2146" s="5" t="s">
        <v>8</v>
      </c>
      <c r="E2146" s="6">
        <f>VALUE(1035)</f>
        <v>1035</v>
      </c>
      <c r="F2146" s="5" t="s">
        <v>9</v>
      </c>
    </row>
    <row r="2147" spans="1:6" ht="58">
      <c r="A2147" s="1" t="s">
        <v>6379</v>
      </c>
      <c r="B2147" s="4" t="s">
        <v>6380</v>
      </c>
      <c r="C2147" s="3" t="s">
        <v>6381</v>
      </c>
      <c r="D2147" s="5" t="s">
        <v>8</v>
      </c>
      <c r="E2147" s="6">
        <f>VALUE(3055)</f>
        <v>3055</v>
      </c>
      <c r="F2147" s="5" t="s">
        <v>9</v>
      </c>
    </row>
    <row r="2148" spans="1:6" ht="29">
      <c r="A2148" s="1" t="s">
        <v>6382</v>
      </c>
      <c r="B2148" s="4" t="s">
        <v>6383</v>
      </c>
      <c r="C2148" s="3" t="s">
        <v>6382</v>
      </c>
      <c r="D2148" s="5" t="s">
        <v>8</v>
      </c>
      <c r="E2148" s="6">
        <f>VALUE(13465)</f>
        <v>13465</v>
      </c>
      <c r="F2148" s="5" t="s">
        <v>9</v>
      </c>
    </row>
    <row r="2149" spans="1:6" ht="29">
      <c r="A2149" s="1" t="s">
        <v>6384</v>
      </c>
      <c r="B2149" s="4" t="s">
        <v>6385</v>
      </c>
      <c r="C2149" s="3" t="s">
        <v>6386</v>
      </c>
      <c r="D2149" s="5" t="s">
        <v>8</v>
      </c>
      <c r="E2149" s="6">
        <f>VALUE(585)</f>
        <v>585</v>
      </c>
      <c r="F2149" s="5" t="s">
        <v>9</v>
      </c>
    </row>
    <row r="2150" spans="1:6" ht="58">
      <c r="A2150" s="1" t="s">
        <v>6387</v>
      </c>
      <c r="B2150" s="4" t="s">
        <v>6388</v>
      </c>
      <c r="C2150" s="3" t="s">
        <v>6389</v>
      </c>
      <c r="D2150" s="5" t="s">
        <v>8</v>
      </c>
      <c r="E2150" s="6">
        <f>VALUE(4215)</f>
        <v>4215</v>
      </c>
      <c r="F2150" s="5" t="s">
        <v>9</v>
      </c>
    </row>
    <row r="2151" spans="1:6" ht="29">
      <c r="A2151" s="1" t="s">
        <v>6390</v>
      </c>
      <c r="B2151" s="4" t="s">
        <v>6391</v>
      </c>
      <c r="C2151" s="3" t="s">
        <v>6390</v>
      </c>
      <c r="D2151" s="5" t="s">
        <v>8</v>
      </c>
      <c r="E2151" s="6">
        <f>VALUE(13465)</f>
        <v>13465</v>
      </c>
      <c r="F2151" s="5" t="s">
        <v>9</v>
      </c>
    </row>
    <row r="2152" spans="1:6" ht="29">
      <c r="A2152" s="1" t="s">
        <v>6392</v>
      </c>
      <c r="B2152" s="4" t="s">
        <v>6393</v>
      </c>
      <c r="C2152" s="3" t="s">
        <v>6394</v>
      </c>
      <c r="D2152" s="5" t="s">
        <v>8</v>
      </c>
      <c r="E2152" s="6">
        <f>VALUE(585)</f>
        <v>585</v>
      </c>
      <c r="F2152" s="5" t="s">
        <v>9</v>
      </c>
    </row>
    <row r="2153" spans="1:6" ht="43.5">
      <c r="A2153" s="1" t="s">
        <v>6395</v>
      </c>
      <c r="B2153" s="4" t="s">
        <v>6396</v>
      </c>
      <c r="C2153" s="3" t="s">
        <v>6395</v>
      </c>
      <c r="D2153" s="5" t="s">
        <v>8</v>
      </c>
      <c r="E2153" s="6">
        <f>VALUE(2995)</f>
        <v>2995</v>
      </c>
      <c r="F2153" s="5" t="s">
        <v>9</v>
      </c>
    </row>
    <row r="2154" spans="1:6" ht="29">
      <c r="A2154" s="1" t="s">
        <v>6397</v>
      </c>
      <c r="B2154" s="4" t="s">
        <v>6398</v>
      </c>
      <c r="C2154" s="3" t="s">
        <v>6397</v>
      </c>
      <c r="D2154" s="5" t="s">
        <v>8</v>
      </c>
      <c r="E2154" s="6">
        <f>VALUE(27015)</f>
        <v>27015</v>
      </c>
      <c r="F2154" s="5" t="s">
        <v>9</v>
      </c>
    </row>
    <row r="2155" spans="1:6" ht="29">
      <c r="A2155" s="1" t="s">
        <v>6399</v>
      </c>
      <c r="B2155" s="4" t="s">
        <v>6400</v>
      </c>
      <c r="C2155" s="3" t="s">
        <v>6401</v>
      </c>
      <c r="D2155" s="5" t="s">
        <v>8</v>
      </c>
      <c r="E2155" s="6">
        <f>VALUE(1145)</f>
        <v>1145</v>
      </c>
      <c r="F2155" s="5" t="s">
        <v>9</v>
      </c>
    </row>
    <row r="2156" spans="1:6" ht="43.5">
      <c r="A2156" s="1" t="s">
        <v>6402</v>
      </c>
      <c r="B2156" s="4" t="s">
        <v>6403</v>
      </c>
      <c r="C2156" s="3" t="s">
        <v>6402</v>
      </c>
      <c r="D2156" s="5" t="s">
        <v>8</v>
      </c>
      <c r="E2156" s="6">
        <f>VALUE(3995)</f>
        <v>3995</v>
      </c>
      <c r="F2156" s="5" t="s">
        <v>9</v>
      </c>
    </row>
    <row r="2157" spans="1:6" ht="29">
      <c r="A2157" s="1" t="s">
        <v>6404</v>
      </c>
      <c r="B2157" s="4" t="s">
        <v>6405</v>
      </c>
      <c r="C2157" s="3" t="s">
        <v>6404</v>
      </c>
      <c r="D2157" s="5" t="s">
        <v>8</v>
      </c>
      <c r="E2157" s="6">
        <f>VALUE(27015)</f>
        <v>27015</v>
      </c>
      <c r="F2157" s="5" t="s">
        <v>9</v>
      </c>
    </row>
    <row r="2158" spans="1:6" ht="29">
      <c r="A2158" s="1" t="s">
        <v>6406</v>
      </c>
      <c r="B2158" s="4" t="s">
        <v>6407</v>
      </c>
      <c r="C2158" s="3" t="s">
        <v>6408</v>
      </c>
      <c r="D2158" s="5" t="s">
        <v>8</v>
      </c>
      <c r="E2158" s="6">
        <f>VALUE(1145)</f>
        <v>1145</v>
      </c>
      <c r="F2158" s="5" t="s">
        <v>9</v>
      </c>
    </row>
    <row r="2159" spans="1:6" ht="43.5">
      <c r="A2159" s="1" t="s">
        <v>6409</v>
      </c>
      <c r="B2159" s="4" t="s">
        <v>6410</v>
      </c>
      <c r="C2159" s="3" t="s">
        <v>6411</v>
      </c>
      <c r="D2159" s="5" t="s">
        <v>8</v>
      </c>
      <c r="E2159" s="6">
        <f>VALUE(8135)</f>
        <v>8135</v>
      </c>
      <c r="F2159" s="5" t="s">
        <v>9</v>
      </c>
    </row>
    <row r="2160" spans="1:6" ht="29">
      <c r="A2160" s="1" t="s">
        <v>6412</v>
      </c>
      <c r="B2160" s="4" t="s">
        <v>6413</v>
      </c>
      <c r="C2160" s="3" t="s">
        <v>6412</v>
      </c>
      <c r="D2160" s="5" t="s">
        <v>8</v>
      </c>
      <c r="E2160" s="6">
        <f>VALUE(43155)</f>
        <v>43155</v>
      </c>
      <c r="F2160" s="5" t="s">
        <v>9</v>
      </c>
    </row>
    <row r="2161" spans="1:6" ht="29">
      <c r="A2161" s="1" t="s">
        <v>6414</v>
      </c>
      <c r="B2161" s="4" t="s">
        <v>6415</v>
      </c>
      <c r="C2161" s="3" t="s">
        <v>6416</v>
      </c>
      <c r="D2161" s="5" t="s">
        <v>8</v>
      </c>
      <c r="E2161" s="6">
        <f>VALUE(1825)</f>
        <v>1825</v>
      </c>
      <c r="F2161" s="5" t="s">
        <v>9</v>
      </c>
    </row>
    <row r="2162" spans="1:6" ht="43.5">
      <c r="A2162" s="1" t="s">
        <v>6417</v>
      </c>
      <c r="B2162" s="4" t="s">
        <v>6418</v>
      </c>
      <c r="C2162" s="3" t="s">
        <v>6419</v>
      </c>
      <c r="D2162" s="5" t="s">
        <v>8</v>
      </c>
      <c r="E2162" s="6">
        <f>VALUE(14075)</f>
        <v>14075</v>
      </c>
      <c r="F2162" s="5" t="s">
        <v>9</v>
      </c>
    </row>
    <row r="2163" spans="1:6" ht="29">
      <c r="A2163" s="1" t="s">
        <v>6420</v>
      </c>
      <c r="B2163" s="4" t="s">
        <v>6421</v>
      </c>
      <c r="C2163" s="3" t="s">
        <v>6420</v>
      </c>
      <c r="D2163" s="5" t="s">
        <v>8</v>
      </c>
      <c r="E2163" s="6">
        <f>VALUE(43155)</f>
        <v>43155</v>
      </c>
      <c r="F2163" s="5" t="s">
        <v>9</v>
      </c>
    </row>
    <row r="2164" spans="1:6" ht="29">
      <c r="A2164" s="1" t="s">
        <v>6422</v>
      </c>
      <c r="B2164" s="4" t="s">
        <v>6423</v>
      </c>
      <c r="C2164" s="3" t="s">
        <v>6424</v>
      </c>
      <c r="D2164" s="5" t="s">
        <v>8</v>
      </c>
      <c r="E2164" s="6">
        <f>VALUE(1825)</f>
        <v>1825</v>
      </c>
      <c r="F2164" s="5" t="s">
        <v>9</v>
      </c>
    </row>
    <row r="2165" spans="1:6" ht="58">
      <c r="A2165" s="1" t="s">
        <v>6425</v>
      </c>
      <c r="B2165" s="4" t="s">
        <v>6426</v>
      </c>
      <c r="C2165" s="3" t="s">
        <v>6425</v>
      </c>
      <c r="D2165" s="5" t="s">
        <v>8</v>
      </c>
      <c r="E2165" s="6">
        <f>VALUE(8285)</f>
        <v>8285</v>
      </c>
      <c r="F2165" s="5" t="s">
        <v>9</v>
      </c>
    </row>
    <row r="2166" spans="1:6" ht="29">
      <c r="A2166" s="1" t="s">
        <v>6427</v>
      </c>
      <c r="B2166" s="4" t="s">
        <v>6428</v>
      </c>
      <c r="C2166" s="3" t="s">
        <v>6427</v>
      </c>
      <c r="D2166" s="5" t="s">
        <v>8</v>
      </c>
      <c r="E2166" s="6">
        <f>VALUE(111725)</f>
        <v>111725</v>
      </c>
      <c r="F2166" s="5" t="s">
        <v>9</v>
      </c>
    </row>
    <row r="2167" spans="1:6" ht="29">
      <c r="A2167" s="1" t="s">
        <v>6429</v>
      </c>
      <c r="B2167" s="4" t="s">
        <v>6430</v>
      </c>
      <c r="C2167" s="3" t="s">
        <v>6431</v>
      </c>
      <c r="D2167" s="5" t="s">
        <v>8</v>
      </c>
      <c r="E2167" s="6">
        <f>VALUE(4715)</f>
        <v>4715</v>
      </c>
      <c r="F2167" s="5" t="s">
        <v>9</v>
      </c>
    </row>
    <row r="2168" spans="1:6" ht="58">
      <c r="A2168" s="1" t="s">
        <v>6432</v>
      </c>
      <c r="B2168" s="4" t="s">
        <v>6433</v>
      </c>
      <c r="C2168" s="3" t="s">
        <v>6432</v>
      </c>
      <c r="D2168" s="5" t="s">
        <v>8</v>
      </c>
      <c r="E2168" s="6">
        <f>VALUE(13285)</f>
        <v>13285</v>
      </c>
      <c r="F2168" s="5" t="s">
        <v>9</v>
      </c>
    </row>
    <row r="2169" spans="1:6" ht="29">
      <c r="A2169" s="1" t="s">
        <v>6434</v>
      </c>
      <c r="B2169" s="4" t="s">
        <v>6435</v>
      </c>
      <c r="C2169" s="3" t="s">
        <v>6434</v>
      </c>
      <c r="D2169" s="5" t="s">
        <v>8</v>
      </c>
      <c r="E2169" s="6">
        <f>VALUE(111725)</f>
        <v>111725</v>
      </c>
      <c r="F2169" s="5" t="s">
        <v>9</v>
      </c>
    </row>
    <row r="2170" spans="1:6" ht="29">
      <c r="A2170" s="1" t="s">
        <v>6436</v>
      </c>
      <c r="B2170" s="4" t="s">
        <v>6437</v>
      </c>
      <c r="C2170" s="3" t="s">
        <v>6438</v>
      </c>
      <c r="D2170" s="5" t="s">
        <v>8</v>
      </c>
      <c r="E2170" s="6">
        <f>VALUE(4715)</f>
        <v>4715</v>
      </c>
      <c r="F2170" s="5" t="s">
        <v>9</v>
      </c>
    </row>
    <row r="2171" spans="1:6" ht="43.5">
      <c r="A2171" s="1" t="s">
        <v>6439</v>
      </c>
      <c r="B2171" s="4" t="s">
        <v>6440</v>
      </c>
      <c r="C2171" s="3" t="s">
        <v>6441</v>
      </c>
      <c r="D2171" s="5" t="s">
        <v>8</v>
      </c>
      <c r="E2171" s="6">
        <f>VALUE(8175)</f>
        <v>8175</v>
      </c>
      <c r="F2171" s="5" t="s">
        <v>9</v>
      </c>
    </row>
    <row r="2172" spans="1:6" ht="29">
      <c r="A2172" s="1" t="s">
        <v>6442</v>
      </c>
      <c r="B2172" s="4" t="s">
        <v>6443</v>
      </c>
      <c r="C2172" s="3" t="s">
        <v>6442</v>
      </c>
      <c r="D2172" s="5" t="s">
        <v>8</v>
      </c>
      <c r="E2172" s="6">
        <f>VALUE(28475)</f>
        <v>28475</v>
      </c>
      <c r="F2172" s="5" t="s">
        <v>9</v>
      </c>
    </row>
    <row r="2173" spans="1:6" ht="29">
      <c r="A2173" s="1" t="s">
        <v>6444</v>
      </c>
      <c r="B2173" s="4" t="s">
        <v>6445</v>
      </c>
      <c r="C2173" s="3" t="s">
        <v>6446</v>
      </c>
      <c r="D2173" s="5" t="s">
        <v>8</v>
      </c>
      <c r="E2173" s="6">
        <f>VALUE(1205)</f>
        <v>1205</v>
      </c>
      <c r="F2173" s="5" t="s">
        <v>9</v>
      </c>
    </row>
    <row r="2174" spans="1:6" ht="43.5">
      <c r="A2174" s="1" t="s">
        <v>6447</v>
      </c>
      <c r="B2174" s="4" t="s">
        <v>6448</v>
      </c>
      <c r="C2174" s="3" t="s">
        <v>6449</v>
      </c>
      <c r="D2174" s="5" t="s">
        <v>8</v>
      </c>
      <c r="E2174" s="6">
        <f>VALUE(8945)</f>
        <v>8945</v>
      </c>
      <c r="F2174" s="5" t="s">
        <v>9</v>
      </c>
    </row>
    <row r="2175" spans="1:6" ht="29">
      <c r="A2175" s="1" t="s">
        <v>6450</v>
      </c>
      <c r="B2175" s="4" t="s">
        <v>6451</v>
      </c>
      <c r="C2175" s="3" t="s">
        <v>6450</v>
      </c>
      <c r="D2175" s="5" t="s">
        <v>8</v>
      </c>
      <c r="E2175" s="6">
        <f>VALUE(28475)</f>
        <v>28475</v>
      </c>
      <c r="F2175" s="5" t="s">
        <v>9</v>
      </c>
    </row>
    <row r="2176" spans="1:6" ht="29">
      <c r="A2176" s="1" t="s">
        <v>6452</v>
      </c>
      <c r="B2176" s="4" t="s">
        <v>6453</v>
      </c>
      <c r="C2176" s="3" t="s">
        <v>6454</v>
      </c>
      <c r="D2176" s="5" t="s">
        <v>8</v>
      </c>
      <c r="E2176" s="6">
        <f>VALUE(1205)</f>
        <v>1205</v>
      </c>
      <c r="F2176" s="5" t="s">
        <v>9</v>
      </c>
    </row>
    <row r="2177" spans="1:6" ht="43.5">
      <c r="A2177" s="1" t="s">
        <v>6455</v>
      </c>
      <c r="B2177" s="4" t="s">
        <v>6456</v>
      </c>
      <c r="C2177" s="3" t="s">
        <v>6455</v>
      </c>
      <c r="D2177" s="5" t="s">
        <v>8</v>
      </c>
      <c r="E2177" s="6">
        <f>VALUE(11000)</f>
        <v>11000</v>
      </c>
      <c r="F2177" s="5" t="s">
        <v>9</v>
      </c>
    </row>
    <row r="2178" spans="1:6" ht="43.5">
      <c r="A2178" s="1" t="s">
        <v>6457</v>
      </c>
      <c r="B2178" s="4" t="s">
        <v>6458</v>
      </c>
      <c r="C2178" s="3" t="s">
        <v>6459</v>
      </c>
      <c r="D2178" s="5" t="s">
        <v>8</v>
      </c>
      <c r="E2178" s="6">
        <f>VALUE(475)</f>
        <v>475</v>
      </c>
      <c r="F2178" s="5" t="s">
        <v>9</v>
      </c>
    </row>
    <row r="2179" spans="1:6" ht="29">
      <c r="A2179" s="1" t="s">
        <v>6460</v>
      </c>
      <c r="B2179" s="4" t="s">
        <v>6461</v>
      </c>
      <c r="C2179" s="3" t="s">
        <v>6460</v>
      </c>
      <c r="D2179" s="5" t="s">
        <v>8</v>
      </c>
      <c r="E2179" s="6">
        <f>VALUE(4995)</f>
        <v>4995</v>
      </c>
      <c r="F2179" s="5" t="s">
        <v>9</v>
      </c>
    </row>
    <row r="2180" spans="1:6" ht="43.5">
      <c r="A2180" s="1" t="s">
        <v>6462</v>
      </c>
      <c r="B2180" s="4" t="s">
        <v>6463</v>
      </c>
      <c r="C2180" s="3" t="s">
        <v>6462</v>
      </c>
      <c r="D2180" s="5" t="s">
        <v>8</v>
      </c>
      <c r="E2180" s="6">
        <f>VALUE(215)</f>
        <v>215</v>
      </c>
      <c r="F2180" s="5" t="s">
        <v>9</v>
      </c>
    </row>
    <row r="2181" spans="1:6" ht="43.5">
      <c r="A2181" s="1" t="s">
        <v>6464</v>
      </c>
      <c r="B2181" s="4" t="s">
        <v>6465</v>
      </c>
      <c r="C2181" s="3" t="s">
        <v>6464</v>
      </c>
      <c r="D2181" s="5" t="s">
        <v>8</v>
      </c>
      <c r="E2181" s="6">
        <f>VALUE(4995)</f>
        <v>4995</v>
      </c>
      <c r="F2181" s="5" t="s">
        <v>9</v>
      </c>
    </row>
    <row r="2182" spans="1:6" ht="43.5">
      <c r="A2182" s="1" t="s">
        <v>6466</v>
      </c>
      <c r="B2182" s="4" t="s">
        <v>6467</v>
      </c>
      <c r="C2182" s="3" t="s">
        <v>6466</v>
      </c>
      <c r="D2182" s="5" t="s">
        <v>8</v>
      </c>
      <c r="E2182" s="6">
        <f>VALUE(215)</f>
        <v>215</v>
      </c>
      <c r="F2182" s="5" t="s">
        <v>9</v>
      </c>
    </row>
    <row r="2183" spans="1:6" ht="29">
      <c r="A2183" s="1" t="s">
        <v>6468</v>
      </c>
      <c r="B2183" s="4" t="s">
        <v>6469</v>
      </c>
      <c r="C2183" s="3" t="s">
        <v>6468</v>
      </c>
      <c r="D2183" s="5" t="s">
        <v>8</v>
      </c>
      <c r="E2183" s="6">
        <f>VALUE(20000)</f>
        <v>20000</v>
      </c>
      <c r="F2183" s="5" t="s">
        <v>9</v>
      </c>
    </row>
    <row r="2184" spans="1:6" ht="43.5">
      <c r="A2184" s="1" t="s">
        <v>6470</v>
      </c>
      <c r="B2184" s="4" t="s">
        <v>6471</v>
      </c>
      <c r="C2184" s="3" t="s">
        <v>6472</v>
      </c>
      <c r="D2184" s="5" t="s">
        <v>8</v>
      </c>
      <c r="E2184" s="6">
        <f>VALUE(855)</f>
        <v>855</v>
      </c>
      <c r="F2184" s="5" t="s">
        <v>9</v>
      </c>
    </row>
    <row r="2185" spans="1:6" ht="43.5">
      <c r="A2185" s="1" t="s">
        <v>6473</v>
      </c>
      <c r="B2185" s="4" t="s">
        <v>6474</v>
      </c>
      <c r="C2185" s="3" t="s">
        <v>6473</v>
      </c>
      <c r="D2185" s="5" t="s">
        <v>8</v>
      </c>
      <c r="E2185" s="6">
        <f>VALUE(12000)</f>
        <v>12000</v>
      </c>
      <c r="F2185" s="5" t="s">
        <v>9</v>
      </c>
    </row>
    <row r="2186" spans="1:6" ht="58">
      <c r="A2186" s="1" t="s">
        <v>6475</v>
      </c>
      <c r="B2186" s="4" t="s">
        <v>6476</v>
      </c>
      <c r="C2186" s="3" t="s">
        <v>6477</v>
      </c>
      <c r="D2186" s="5" t="s">
        <v>8</v>
      </c>
      <c r="E2186" s="6">
        <f>VALUE(515)</f>
        <v>515</v>
      </c>
      <c r="F2186" s="5" t="s">
        <v>9</v>
      </c>
    </row>
    <row r="2187" spans="1:6" ht="43.5">
      <c r="A2187" s="1" t="s">
        <v>6478</v>
      </c>
      <c r="B2187" s="4" t="s">
        <v>6479</v>
      </c>
      <c r="C2187" s="3" t="s">
        <v>6478</v>
      </c>
      <c r="D2187" s="5" t="s">
        <v>8</v>
      </c>
      <c r="E2187" s="6">
        <f>VALUE(2995)</f>
        <v>2995</v>
      </c>
      <c r="F2187" s="5" t="s">
        <v>9</v>
      </c>
    </row>
    <row r="2188" spans="1:6" ht="43.5">
      <c r="A2188" s="1" t="s">
        <v>6480</v>
      </c>
      <c r="B2188" s="4" t="s">
        <v>6481</v>
      </c>
      <c r="C2188" s="3" t="s">
        <v>6482</v>
      </c>
      <c r="D2188" s="5" t="s">
        <v>8</v>
      </c>
      <c r="E2188" s="6">
        <f>VALUE(145)</f>
        <v>145</v>
      </c>
      <c r="F2188" s="5" t="s">
        <v>9</v>
      </c>
    </row>
    <row r="2189" spans="1:6" ht="29">
      <c r="A2189" s="1" t="s">
        <v>6483</v>
      </c>
      <c r="B2189" s="4" t="s">
        <v>6484</v>
      </c>
      <c r="C2189" s="3" t="s">
        <v>6483</v>
      </c>
      <c r="D2189" s="5" t="s">
        <v>8</v>
      </c>
      <c r="E2189" s="6">
        <f>VALUE(3995)</f>
        <v>3995</v>
      </c>
      <c r="F2189" s="5" t="s">
        <v>9</v>
      </c>
    </row>
    <row r="2190" spans="1:6" ht="43.5">
      <c r="A2190" s="1" t="s">
        <v>6485</v>
      </c>
      <c r="B2190" s="4" t="s">
        <v>6486</v>
      </c>
      <c r="C2190" s="3" t="s">
        <v>6487</v>
      </c>
      <c r="D2190" s="5" t="s">
        <v>8</v>
      </c>
      <c r="E2190" s="6">
        <f>VALUE(185)</f>
        <v>185</v>
      </c>
      <c r="F2190" s="5" t="s">
        <v>9</v>
      </c>
    </row>
    <row r="2191" spans="1:6" ht="29">
      <c r="A2191" s="1" t="s">
        <v>6488</v>
      </c>
      <c r="B2191" s="4" t="s">
        <v>6489</v>
      </c>
      <c r="C2191" s="3" t="s">
        <v>6488</v>
      </c>
      <c r="D2191" s="5" t="s">
        <v>8</v>
      </c>
      <c r="E2191" s="6">
        <f>VALUE(4995)</f>
        <v>4995</v>
      </c>
      <c r="F2191" s="5" t="s">
        <v>9</v>
      </c>
    </row>
    <row r="2192" spans="1:6" ht="43.5">
      <c r="A2192" s="1" t="s">
        <v>6490</v>
      </c>
      <c r="B2192" s="4" t="s">
        <v>6491</v>
      </c>
      <c r="C2192" s="3" t="s">
        <v>6490</v>
      </c>
      <c r="D2192" s="5" t="s">
        <v>8</v>
      </c>
      <c r="E2192" s="6">
        <f>VALUE(215)</f>
        <v>215</v>
      </c>
      <c r="F2192" s="5" t="s">
        <v>9</v>
      </c>
    </row>
    <row r="2193" spans="1:6" ht="29">
      <c r="A2193" s="1" t="s">
        <v>6492</v>
      </c>
      <c r="B2193" s="4" t="s">
        <v>6493</v>
      </c>
      <c r="C2193" s="3" t="s">
        <v>6492</v>
      </c>
      <c r="D2193" s="5" t="s">
        <v>8</v>
      </c>
      <c r="E2193" s="6">
        <f>VALUE(4995)</f>
        <v>4995</v>
      </c>
      <c r="F2193" s="5" t="s">
        <v>9</v>
      </c>
    </row>
    <row r="2194" spans="1:6" ht="43.5">
      <c r="A2194" s="1" t="s">
        <v>6494</v>
      </c>
      <c r="B2194" s="4" t="s">
        <v>6495</v>
      </c>
      <c r="C2194" s="3" t="s">
        <v>6496</v>
      </c>
      <c r="D2194" s="5" t="s">
        <v>8</v>
      </c>
      <c r="E2194" s="6">
        <f>VALUE(225)</f>
        <v>225</v>
      </c>
      <c r="F2194" s="5" t="s">
        <v>9</v>
      </c>
    </row>
    <row r="2195" spans="1:6" ht="29">
      <c r="A2195" s="1" t="s">
        <v>6497</v>
      </c>
      <c r="B2195" s="4" t="s">
        <v>6498</v>
      </c>
      <c r="C2195" s="3" t="s">
        <v>6497</v>
      </c>
      <c r="D2195" s="5" t="s">
        <v>8</v>
      </c>
      <c r="E2195" s="6">
        <f>VALUE(3995)</f>
        <v>3995</v>
      </c>
      <c r="F2195" s="5" t="s">
        <v>9</v>
      </c>
    </row>
    <row r="2196" spans="1:6" ht="43.5">
      <c r="A2196" s="1" t="s">
        <v>6499</v>
      </c>
      <c r="B2196" s="4" t="s">
        <v>6500</v>
      </c>
      <c r="C2196" s="3" t="s">
        <v>6501</v>
      </c>
      <c r="D2196" s="5" t="s">
        <v>8</v>
      </c>
      <c r="E2196" s="6">
        <f>VALUE(185)</f>
        <v>185</v>
      </c>
      <c r="F2196" s="5" t="s">
        <v>9</v>
      </c>
    </row>
    <row r="2197" spans="1:6" ht="43.5">
      <c r="A2197" s="1" t="s">
        <v>6502</v>
      </c>
      <c r="B2197" s="4" t="s">
        <v>6503</v>
      </c>
      <c r="C2197" s="3" t="s">
        <v>6504</v>
      </c>
      <c r="D2197" s="5" t="s">
        <v>8</v>
      </c>
      <c r="E2197" s="6">
        <f>VALUE(5005)</f>
        <v>5005</v>
      </c>
      <c r="F2197" s="5" t="s">
        <v>9</v>
      </c>
    </row>
    <row r="2198" spans="1:6" ht="29">
      <c r="A2198" s="1" t="s">
        <v>6505</v>
      </c>
      <c r="B2198" s="4" t="s">
        <v>6506</v>
      </c>
      <c r="C2198" s="3" t="s">
        <v>6505</v>
      </c>
      <c r="D2198" s="5" t="s">
        <v>8</v>
      </c>
      <c r="E2198" s="6">
        <f>VALUE(19085)</f>
        <v>19085</v>
      </c>
      <c r="F2198" s="5" t="s">
        <v>9</v>
      </c>
    </row>
    <row r="2199" spans="1:6" ht="29">
      <c r="A2199" s="1" t="s">
        <v>6507</v>
      </c>
      <c r="B2199" s="4" t="s">
        <v>6508</v>
      </c>
      <c r="C2199" s="3" t="s">
        <v>6509</v>
      </c>
      <c r="D2199" s="5" t="s">
        <v>8</v>
      </c>
      <c r="E2199" s="6">
        <f>VALUE(815)</f>
        <v>815</v>
      </c>
      <c r="F2199" s="5" t="s">
        <v>9</v>
      </c>
    </row>
    <row r="2200" spans="1:6" ht="43.5">
      <c r="A2200" s="1" t="s">
        <v>6510</v>
      </c>
      <c r="B2200" s="4" t="s">
        <v>6511</v>
      </c>
      <c r="C2200" s="3" t="s">
        <v>6512</v>
      </c>
      <c r="D2200" s="5" t="s">
        <v>8</v>
      </c>
      <c r="E2200" s="6">
        <f>VALUE(7035)</f>
        <v>7035</v>
      </c>
      <c r="F2200" s="5" t="s">
        <v>9</v>
      </c>
    </row>
    <row r="2201" spans="1:6" ht="29">
      <c r="A2201" s="1" t="s">
        <v>6513</v>
      </c>
      <c r="B2201" s="4" t="s">
        <v>6514</v>
      </c>
      <c r="C2201" s="3" t="s">
        <v>6513</v>
      </c>
      <c r="D2201" s="5" t="s">
        <v>8</v>
      </c>
      <c r="E2201" s="6">
        <f>VALUE(19085)</f>
        <v>19085</v>
      </c>
      <c r="F2201" s="5" t="s">
        <v>9</v>
      </c>
    </row>
    <row r="2202" spans="1:6" ht="29">
      <c r="A2202" s="1" t="s">
        <v>6515</v>
      </c>
      <c r="B2202" s="4" t="s">
        <v>6516</v>
      </c>
      <c r="C2202" s="3" t="s">
        <v>6517</v>
      </c>
      <c r="D2202" s="5" t="s">
        <v>8</v>
      </c>
      <c r="E2202" s="6">
        <f>VALUE(815)</f>
        <v>815</v>
      </c>
      <c r="F2202" s="5" t="s">
        <v>9</v>
      </c>
    </row>
    <row r="2203" spans="1:6" ht="29">
      <c r="A2203" s="1" t="s">
        <v>6518</v>
      </c>
      <c r="B2203" s="4" t="s">
        <v>6519</v>
      </c>
      <c r="C2203" s="3" t="s">
        <v>6520</v>
      </c>
      <c r="D2203" s="5" t="s">
        <v>8</v>
      </c>
      <c r="E2203" s="6">
        <f>VALUE(665)</f>
        <v>665</v>
      </c>
      <c r="F2203" s="5" t="s">
        <v>9</v>
      </c>
    </row>
    <row r="2204" spans="1:6" ht="29">
      <c r="A2204" s="1" t="s">
        <v>6521</v>
      </c>
      <c r="B2204" s="4" t="s">
        <v>6522</v>
      </c>
      <c r="C2204" s="3" t="s">
        <v>6521</v>
      </c>
      <c r="D2204" s="5" t="s">
        <v>8</v>
      </c>
      <c r="E2204" s="6">
        <f>VALUE(9715)</f>
        <v>9715</v>
      </c>
      <c r="F2204" s="5" t="s">
        <v>9</v>
      </c>
    </row>
    <row r="2205" spans="1:6" ht="29">
      <c r="A2205" s="1" t="s">
        <v>6523</v>
      </c>
      <c r="B2205" s="4" t="s">
        <v>6524</v>
      </c>
      <c r="C2205" s="3" t="s">
        <v>6525</v>
      </c>
      <c r="D2205" s="5" t="s">
        <v>8</v>
      </c>
      <c r="E2205" s="6">
        <f>VALUE(425)</f>
        <v>425</v>
      </c>
      <c r="F2205" s="5" t="s">
        <v>9</v>
      </c>
    </row>
    <row r="2206" spans="1:6" ht="43.5">
      <c r="A2206" s="1" t="s">
        <v>6526</v>
      </c>
      <c r="B2206" s="4" t="s">
        <v>6527</v>
      </c>
      <c r="C2206" s="3" t="s">
        <v>6528</v>
      </c>
      <c r="D2206" s="5" t="s">
        <v>8</v>
      </c>
      <c r="E2206" s="6">
        <f>VALUE(745)</f>
        <v>745</v>
      </c>
      <c r="F2206" s="5" t="s">
        <v>9</v>
      </c>
    </row>
    <row r="2207" spans="1:6" ht="29">
      <c r="A2207" s="1" t="s">
        <v>6529</v>
      </c>
      <c r="B2207" s="4" t="s">
        <v>6530</v>
      </c>
      <c r="C2207" s="3" t="s">
        <v>6529</v>
      </c>
      <c r="D2207" s="5" t="s">
        <v>8</v>
      </c>
      <c r="E2207" s="6">
        <f>VALUE(19415)</f>
        <v>19415</v>
      </c>
      <c r="F2207" s="5" t="s">
        <v>9</v>
      </c>
    </row>
    <row r="2208" spans="1:6" ht="29">
      <c r="A2208" s="1" t="s">
        <v>6531</v>
      </c>
      <c r="B2208" s="4" t="s">
        <v>6532</v>
      </c>
      <c r="C2208" s="3" t="s">
        <v>6533</v>
      </c>
      <c r="D2208" s="5" t="s">
        <v>8</v>
      </c>
      <c r="E2208" s="6">
        <f>VALUE(835)</f>
        <v>835</v>
      </c>
      <c r="F2208" s="5" t="s">
        <v>9</v>
      </c>
    </row>
    <row r="2209" spans="1:6" ht="43.5">
      <c r="A2209" s="1" t="s">
        <v>6534</v>
      </c>
      <c r="B2209" s="4" t="s">
        <v>6535</v>
      </c>
      <c r="C2209" s="3" t="s">
        <v>6536</v>
      </c>
      <c r="D2209" s="5" t="s">
        <v>8</v>
      </c>
      <c r="E2209" s="6">
        <f>VALUE(1115)</f>
        <v>1115</v>
      </c>
      <c r="F2209" s="5" t="s">
        <v>9</v>
      </c>
    </row>
    <row r="2210" spans="1:6" ht="29">
      <c r="A2210" s="1" t="s">
        <v>6537</v>
      </c>
      <c r="B2210" s="4" t="s">
        <v>6538</v>
      </c>
      <c r="C2210" s="3" t="s">
        <v>6537</v>
      </c>
      <c r="D2210" s="5" t="s">
        <v>8</v>
      </c>
      <c r="E2210" s="6">
        <f>VALUE(9085)</f>
        <v>9085</v>
      </c>
      <c r="F2210" s="5" t="s">
        <v>9</v>
      </c>
    </row>
    <row r="2211" spans="1:6" ht="29">
      <c r="A2211" s="1" t="s">
        <v>6539</v>
      </c>
      <c r="B2211" s="4" t="s">
        <v>6540</v>
      </c>
      <c r="C2211" s="3" t="s">
        <v>6541</v>
      </c>
      <c r="D2211" s="5" t="s">
        <v>8</v>
      </c>
      <c r="E2211" s="6">
        <f>VALUE(395)</f>
        <v>395</v>
      </c>
      <c r="F2211" s="5" t="s">
        <v>9</v>
      </c>
    </row>
    <row r="2212" spans="1:6" ht="43.5">
      <c r="A2212" s="1" t="s">
        <v>6542</v>
      </c>
      <c r="B2212" s="4" t="s">
        <v>6543</v>
      </c>
      <c r="C2212" s="3" t="s">
        <v>6544</v>
      </c>
      <c r="D2212" s="5" t="s">
        <v>8</v>
      </c>
      <c r="E2212" s="6">
        <f>VALUE(365)</f>
        <v>365</v>
      </c>
      <c r="F2212" s="5" t="s">
        <v>9</v>
      </c>
    </row>
    <row r="2213" spans="1:6" ht="29">
      <c r="A2213" s="1" t="s">
        <v>6545</v>
      </c>
      <c r="B2213" s="4" t="s">
        <v>6546</v>
      </c>
      <c r="C2213" s="3" t="s">
        <v>6545</v>
      </c>
      <c r="D2213" s="5" t="s">
        <v>8</v>
      </c>
      <c r="E2213" s="6">
        <f>VALUE(6715)</f>
        <v>6715</v>
      </c>
      <c r="F2213" s="5" t="s">
        <v>9</v>
      </c>
    </row>
    <row r="2214" spans="1:6" ht="29">
      <c r="A2214" s="1" t="s">
        <v>6547</v>
      </c>
      <c r="B2214" s="4" t="s">
        <v>6548</v>
      </c>
      <c r="C2214" s="3" t="s">
        <v>6549</v>
      </c>
      <c r="D2214" s="5" t="s">
        <v>8</v>
      </c>
      <c r="E2214" s="6">
        <f>VALUE(305)</f>
        <v>305</v>
      </c>
      <c r="F2214" s="5" t="s">
        <v>9</v>
      </c>
    </row>
    <row r="2215" spans="1:6" ht="58">
      <c r="A2215" s="1" t="s">
        <v>6550</v>
      </c>
      <c r="B2215" s="4" t="s">
        <v>6551</v>
      </c>
      <c r="C2215" s="3" t="s">
        <v>6552</v>
      </c>
      <c r="D2215" s="5" t="s">
        <v>8</v>
      </c>
      <c r="E2215" s="6">
        <f>VALUE(3345)</f>
        <v>3345</v>
      </c>
      <c r="F2215" s="5" t="s">
        <v>9</v>
      </c>
    </row>
    <row r="2216" spans="1:6" ht="29">
      <c r="A2216" s="1" t="s">
        <v>6553</v>
      </c>
      <c r="B2216" s="4" t="s">
        <v>6554</v>
      </c>
      <c r="C2216" s="3" t="s">
        <v>6553</v>
      </c>
      <c r="D2216" s="5" t="s">
        <v>8</v>
      </c>
      <c r="E2216" s="6">
        <f>VALUE(22205)</f>
        <v>22205</v>
      </c>
      <c r="F2216" s="5" t="s">
        <v>9</v>
      </c>
    </row>
    <row r="2217" spans="1:6" ht="29">
      <c r="A2217" s="1" t="s">
        <v>6555</v>
      </c>
      <c r="B2217" s="4" t="s">
        <v>6556</v>
      </c>
      <c r="C2217" s="3" t="s">
        <v>6557</v>
      </c>
      <c r="D2217" s="5" t="s">
        <v>8</v>
      </c>
      <c r="E2217" s="6">
        <f>VALUE(945)</f>
        <v>945</v>
      </c>
      <c r="F2217" s="5" t="s">
        <v>9</v>
      </c>
    </row>
    <row r="2218" spans="1:6" ht="43.5">
      <c r="A2218" s="1" t="s">
        <v>6558</v>
      </c>
      <c r="B2218" s="4" t="s">
        <v>6559</v>
      </c>
      <c r="C2218" s="3" t="s">
        <v>6558</v>
      </c>
      <c r="D2218" s="5" t="s">
        <v>8</v>
      </c>
      <c r="E2218" s="6">
        <f>VALUE(3995)</f>
        <v>3995</v>
      </c>
      <c r="F2218" s="5" t="s">
        <v>9</v>
      </c>
    </row>
    <row r="2219" spans="1:6" ht="58">
      <c r="A2219" s="1" t="s">
        <v>6560</v>
      </c>
      <c r="B2219" s="4" t="s">
        <v>6561</v>
      </c>
      <c r="C2219" s="3" t="s">
        <v>6562</v>
      </c>
      <c r="D2219" s="5" t="s">
        <v>8</v>
      </c>
      <c r="E2219" s="6">
        <f>VALUE(185)</f>
        <v>185</v>
      </c>
      <c r="F2219" s="5" t="s">
        <v>9</v>
      </c>
    </row>
    <row r="2220" spans="1:6" ht="43.5">
      <c r="A2220" s="1" t="s">
        <v>6563</v>
      </c>
      <c r="B2220" s="4" t="s">
        <v>6564</v>
      </c>
      <c r="C2220" s="3" t="s">
        <v>6563</v>
      </c>
      <c r="D2220" s="5" t="s">
        <v>8</v>
      </c>
      <c r="E2220" s="6">
        <f>VALUE(7495)</f>
        <v>7495</v>
      </c>
      <c r="F2220" s="5" t="s">
        <v>9</v>
      </c>
    </row>
    <row r="2221" spans="1:6" ht="43.5">
      <c r="A2221" s="1" t="s">
        <v>6565</v>
      </c>
      <c r="B2221" s="4" t="s">
        <v>6566</v>
      </c>
      <c r="C2221" s="3" t="s">
        <v>6567</v>
      </c>
      <c r="D2221" s="5" t="s">
        <v>8</v>
      </c>
      <c r="E2221" s="6">
        <f>VALUE(335)</f>
        <v>335</v>
      </c>
      <c r="F2221" s="5" t="s">
        <v>9</v>
      </c>
    </row>
    <row r="2222" spans="1:6" ht="58">
      <c r="A2222" s="1" t="s">
        <v>6568</v>
      </c>
      <c r="B2222" s="4" t="s">
        <v>6569</v>
      </c>
      <c r="C2222" s="3" t="s">
        <v>6568</v>
      </c>
      <c r="D2222" s="5" t="s">
        <v>8</v>
      </c>
      <c r="E2222" s="6">
        <f>VALUE(14995)</f>
        <v>14995</v>
      </c>
      <c r="F2222" s="5" t="s">
        <v>9</v>
      </c>
    </row>
    <row r="2223" spans="1:6" ht="58">
      <c r="A2223" s="1" t="s">
        <v>6570</v>
      </c>
      <c r="B2223" s="4" t="s">
        <v>6571</v>
      </c>
      <c r="C2223" s="3" t="s">
        <v>6572</v>
      </c>
      <c r="D2223" s="5" t="s">
        <v>8</v>
      </c>
      <c r="E2223" s="6">
        <f>VALUE(645)</f>
        <v>645</v>
      </c>
      <c r="F2223" s="5" t="s">
        <v>9</v>
      </c>
    </row>
    <row r="2224" spans="1:6" ht="58">
      <c r="A2224" s="1" t="s">
        <v>6573</v>
      </c>
      <c r="B2224" s="4" t="s">
        <v>6574</v>
      </c>
      <c r="C2224" s="3" t="s">
        <v>6573</v>
      </c>
      <c r="D2224" s="5" t="s">
        <v>8</v>
      </c>
      <c r="E2224" s="6">
        <f>VALUE(6995)</f>
        <v>6995</v>
      </c>
      <c r="F2224" s="5" t="s">
        <v>9</v>
      </c>
    </row>
    <row r="2225" spans="1:6" ht="58">
      <c r="A2225" s="1" t="s">
        <v>6575</v>
      </c>
      <c r="B2225" s="4" t="s">
        <v>6576</v>
      </c>
      <c r="C2225" s="3" t="s">
        <v>6577</v>
      </c>
      <c r="D2225" s="5" t="s">
        <v>8</v>
      </c>
      <c r="E2225" s="6">
        <f>VALUE(315)</f>
        <v>315</v>
      </c>
      <c r="F2225" s="5" t="s">
        <v>9</v>
      </c>
    </row>
    <row r="2226" spans="1:6" ht="43.5">
      <c r="A2226" s="1" t="s">
        <v>6578</v>
      </c>
      <c r="B2226" s="4" t="s">
        <v>6579</v>
      </c>
      <c r="C2226" s="3" t="s">
        <v>6578</v>
      </c>
      <c r="D2226" s="5" t="s">
        <v>8</v>
      </c>
      <c r="E2226" s="6">
        <f>VALUE(2995)</f>
        <v>2995</v>
      </c>
      <c r="F2226" s="5" t="s">
        <v>9</v>
      </c>
    </row>
    <row r="2227" spans="1:6" ht="43.5">
      <c r="A2227" s="1" t="s">
        <v>6580</v>
      </c>
      <c r="B2227" s="4" t="s">
        <v>6581</v>
      </c>
      <c r="C2227" s="3" t="s">
        <v>6582</v>
      </c>
      <c r="D2227" s="5" t="s">
        <v>8</v>
      </c>
      <c r="E2227" s="6">
        <f>VALUE(145)</f>
        <v>145</v>
      </c>
      <c r="F2227" s="5" t="s">
        <v>9</v>
      </c>
    </row>
    <row r="2228" spans="1:6" ht="43.5">
      <c r="A2228" s="1" t="s">
        <v>6583</v>
      </c>
      <c r="B2228" s="4" t="s">
        <v>6584</v>
      </c>
      <c r="C2228" s="3" t="s">
        <v>6583</v>
      </c>
      <c r="D2228" s="5" t="s">
        <v>8</v>
      </c>
      <c r="E2228" s="6">
        <f>VALUE(2495)</f>
        <v>2495</v>
      </c>
      <c r="F2228" s="5" t="s">
        <v>9</v>
      </c>
    </row>
    <row r="2229" spans="1:6" ht="58">
      <c r="A2229" s="1" t="s">
        <v>6585</v>
      </c>
      <c r="B2229" s="4" t="s">
        <v>6586</v>
      </c>
      <c r="C2229" s="3" t="s">
        <v>6587</v>
      </c>
      <c r="D2229" s="5" t="s">
        <v>8</v>
      </c>
      <c r="E2229" s="6">
        <f>VALUE(125)</f>
        <v>125</v>
      </c>
      <c r="F2229" s="5" t="s">
        <v>9</v>
      </c>
    </row>
    <row r="2230" spans="1:6" ht="43.5">
      <c r="A2230" s="1" t="s">
        <v>6588</v>
      </c>
      <c r="B2230" s="4" t="s">
        <v>6589</v>
      </c>
      <c r="C2230" s="3" t="s">
        <v>6588</v>
      </c>
      <c r="D2230" s="5" t="s">
        <v>8</v>
      </c>
      <c r="E2230" s="6">
        <f>VALUE(7495)</f>
        <v>7495</v>
      </c>
      <c r="F2230" s="5" t="s">
        <v>9</v>
      </c>
    </row>
    <row r="2231" spans="1:6" ht="43.5">
      <c r="A2231" s="1" t="s">
        <v>6590</v>
      </c>
      <c r="B2231" s="4" t="s">
        <v>6591</v>
      </c>
      <c r="C2231" s="3" t="s">
        <v>6592</v>
      </c>
      <c r="D2231" s="5" t="s">
        <v>8</v>
      </c>
      <c r="E2231" s="6">
        <f>VALUE(335)</f>
        <v>335</v>
      </c>
      <c r="F2231" s="5" t="s">
        <v>9</v>
      </c>
    </row>
    <row r="2232" spans="1:6" ht="43.5">
      <c r="A2232" s="1" t="s">
        <v>6593</v>
      </c>
      <c r="B2232" s="4" t="s">
        <v>6594</v>
      </c>
      <c r="C2232" s="3" t="s">
        <v>6593</v>
      </c>
      <c r="D2232" s="5" t="s">
        <v>8</v>
      </c>
      <c r="E2232" s="6">
        <f>VALUE(9995)</f>
        <v>9995</v>
      </c>
      <c r="F2232" s="5" t="s">
        <v>9</v>
      </c>
    </row>
    <row r="2233" spans="1:6" ht="43.5">
      <c r="A2233" s="1" t="s">
        <v>6595</v>
      </c>
      <c r="B2233" s="4" t="s">
        <v>6596</v>
      </c>
      <c r="C2233" s="3" t="s">
        <v>6597</v>
      </c>
      <c r="D2233" s="5" t="s">
        <v>8</v>
      </c>
      <c r="E2233" s="6">
        <f>VALUE(435)</f>
        <v>435</v>
      </c>
      <c r="F2233" s="5" t="s">
        <v>9</v>
      </c>
    </row>
    <row r="2234" spans="1:6" ht="43.5">
      <c r="A2234" s="1" t="s">
        <v>6598</v>
      </c>
      <c r="B2234" s="4" t="s">
        <v>6599</v>
      </c>
      <c r="C2234" s="3" t="s">
        <v>6598</v>
      </c>
      <c r="D2234" s="5" t="s">
        <v>8</v>
      </c>
      <c r="E2234" s="6">
        <f>VALUE(7495)</f>
        <v>7495</v>
      </c>
      <c r="F2234" s="5" t="s">
        <v>9</v>
      </c>
    </row>
    <row r="2235" spans="1:6" ht="58">
      <c r="A2235" s="1" t="s">
        <v>6600</v>
      </c>
      <c r="B2235" s="4" t="s">
        <v>6601</v>
      </c>
      <c r="C2235" s="3" t="s">
        <v>6602</v>
      </c>
      <c r="D2235" s="5" t="s">
        <v>8</v>
      </c>
      <c r="E2235" s="6">
        <f>VALUE(335)</f>
        <v>335</v>
      </c>
      <c r="F2235" s="5" t="s">
        <v>9</v>
      </c>
    </row>
    <row r="2236" spans="1:6" ht="43.5">
      <c r="A2236" s="1" t="s">
        <v>6603</v>
      </c>
      <c r="B2236" s="4" t="s">
        <v>6604</v>
      </c>
      <c r="C2236" s="3" t="s">
        <v>6603</v>
      </c>
      <c r="D2236" s="5" t="s">
        <v>8</v>
      </c>
      <c r="E2236" s="6">
        <f>VALUE(4995)</f>
        <v>4995</v>
      </c>
      <c r="F2236" s="5" t="s">
        <v>9</v>
      </c>
    </row>
    <row r="2237" spans="1:6" ht="58">
      <c r="A2237" s="1" t="s">
        <v>6605</v>
      </c>
      <c r="B2237" s="4" t="s">
        <v>6606</v>
      </c>
      <c r="C2237" s="3" t="s">
        <v>6605</v>
      </c>
      <c r="D2237" s="5" t="s">
        <v>8</v>
      </c>
      <c r="E2237" s="6">
        <f>VALUE(215)</f>
        <v>215</v>
      </c>
      <c r="F2237" s="5" t="s">
        <v>9</v>
      </c>
    </row>
    <row r="2238" spans="1:6" ht="43.5">
      <c r="A2238" s="1" t="s">
        <v>6607</v>
      </c>
      <c r="B2238" s="4" t="s">
        <v>6608</v>
      </c>
      <c r="C2238" s="3" t="s">
        <v>6607</v>
      </c>
      <c r="D2238" s="5" t="s">
        <v>8</v>
      </c>
      <c r="E2238" s="6">
        <f>VALUE(8995)</f>
        <v>8995</v>
      </c>
      <c r="F2238" s="5" t="s">
        <v>9</v>
      </c>
    </row>
    <row r="2239" spans="1:6" ht="58">
      <c r="A2239" s="1" t="s">
        <v>6609</v>
      </c>
      <c r="B2239" s="4" t="s">
        <v>6610</v>
      </c>
      <c r="C2239" s="3" t="s">
        <v>6611</v>
      </c>
      <c r="D2239" s="5" t="s">
        <v>8</v>
      </c>
      <c r="E2239" s="6">
        <f>VALUE(395)</f>
        <v>395</v>
      </c>
      <c r="F2239" s="5" t="s">
        <v>9</v>
      </c>
    </row>
    <row r="2240" spans="1:6" ht="43.5">
      <c r="A2240" s="1" t="s">
        <v>6612</v>
      </c>
      <c r="B2240" s="4" t="s">
        <v>6613</v>
      </c>
      <c r="C2240" s="3" t="s">
        <v>6612</v>
      </c>
      <c r="D2240" s="5" t="s">
        <v>8</v>
      </c>
      <c r="E2240" s="6">
        <f>VALUE(14995)</f>
        <v>14995</v>
      </c>
      <c r="F2240" s="5" t="s">
        <v>9</v>
      </c>
    </row>
    <row r="2241" spans="1:6" ht="58">
      <c r="A2241" s="1" t="s">
        <v>6614</v>
      </c>
      <c r="B2241" s="4" t="s">
        <v>6615</v>
      </c>
      <c r="C2241" s="3" t="s">
        <v>6616</v>
      </c>
      <c r="D2241" s="5" t="s">
        <v>8</v>
      </c>
      <c r="E2241" s="6">
        <f>VALUE(645)</f>
        <v>645</v>
      </c>
      <c r="F2241" s="5" t="s">
        <v>9</v>
      </c>
    </row>
    <row r="2242" spans="1:6" ht="58">
      <c r="A2242" s="1" t="s">
        <v>6617</v>
      </c>
      <c r="B2242" s="4" t="s">
        <v>6618</v>
      </c>
      <c r="C2242" s="3" t="s">
        <v>6617</v>
      </c>
      <c r="D2242" s="5" t="s">
        <v>8</v>
      </c>
      <c r="E2242" s="6">
        <f>VALUE(5995)</f>
        <v>5995</v>
      </c>
      <c r="F2242" s="5" t="s">
        <v>9</v>
      </c>
    </row>
    <row r="2243" spans="1:6" ht="58">
      <c r="A2243" s="1" t="s">
        <v>6619</v>
      </c>
      <c r="B2243" s="4" t="s">
        <v>6620</v>
      </c>
      <c r="C2243" s="3" t="s">
        <v>6621</v>
      </c>
      <c r="D2243" s="5" t="s">
        <v>8</v>
      </c>
      <c r="E2243" s="6">
        <f>VALUE(265)</f>
        <v>265</v>
      </c>
      <c r="F2243" s="5" t="s">
        <v>9</v>
      </c>
    </row>
    <row r="2244" spans="1:6" ht="43.5">
      <c r="A2244" s="1" t="s">
        <v>6622</v>
      </c>
      <c r="B2244" s="4" t="s">
        <v>6623</v>
      </c>
      <c r="C2244" s="3" t="s">
        <v>6624</v>
      </c>
      <c r="D2244" s="5" t="s">
        <v>8</v>
      </c>
      <c r="E2244" s="6">
        <f>VALUE(675)</f>
        <v>675</v>
      </c>
      <c r="F2244" s="5" t="s">
        <v>9</v>
      </c>
    </row>
    <row r="2245" spans="1:6" ht="43.5">
      <c r="A2245" s="1" t="s">
        <v>6625</v>
      </c>
      <c r="B2245" s="4" t="s">
        <v>6626</v>
      </c>
      <c r="C2245" s="3" t="s">
        <v>6627</v>
      </c>
      <c r="D2245" s="5" t="s">
        <v>8</v>
      </c>
      <c r="E2245" s="6">
        <f>VALUE(675)</f>
        <v>675</v>
      </c>
      <c r="F2245" s="5" t="s">
        <v>9</v>
      </c>
    </row>
    <row r="2246" spans="1:6" ht="43.5">
      <c r="A2246" s="1" t="s">
        <v>6628</v>
      </c>
      <c r="B2246" s="4" t="s">
        <v>6629</v>
      </c>
      <c r="C2246" s="3" t="s">
        <v>6630</v>
      </c>
      <c r="D2246" s="5" t="s">
        <v>8</v>
      </c>
      <c r="E2246" s="6">
        <f>VALUE(365)</f>
        <v>365</v>
      </c>
      <c r="F2246" s="5" t="s">
        <v>9</v>
      </c>
    </row>
    <row r="2247" spans="1:6" ht="58">
      <c r="A2247" s="1" t="s">
        <v>6631</v>
      </c>
      <c r="B2247" s="4" t="s">
        <v>6632</v>
      </c>
      <c r="C2247" s="3" t="s">
        <v>6633</v>
      </c>
      <c r="D2247" s="5" t="s">
        <v>8</v>
      </c>
      <c r="E2247" s="6">
        <f>VALUE(225)</f>
        <v>225</v>
      </c>
      <c r="F2247" s="5" t="s">
        <v>9</v>
      </c>
    </row>
    <row r="2248" spans="1:6" ht="58">
      <c r="A2248" s="1" t="s">
        <v>6634</v>
      </c>
      <c r="B2248" s="4" t="s">
        <v>6635</v>
      </c>
      <c r="C2248" s="3" t="s">
        <v>6636</v>
      </c>
      <c r="D2248" s="5" t="s">
        <v>8</v>
      </c>
      <c r="E2248" s="6">
        <f>VALUE(795)</f>
        <v>795</v>
      </c>
      <c r="F2248" s="5" t="s">
        <v>9</v>
      </c>
    </row>
    <row r="2249" spans="1:6" ht="58">
      <c r="A2249" s="1" t="s">
        <v>6637</v>
      </c>
      <c r="B2249" s="4" t="s">
        <v>6638</v>
      </c>
      <c r="C2249" s="3" t="s">
        <v>6639</v>
      </c>
      <c r="D2249" s="5" t="s">
        <v>8</v>
      </c>
      <c r="E2249" s="6">
        <f>VALUE(1995)</f>
        <v>1995</v>
      </c>
      <c r="F2249" s="5" t="s">
        <v>9</v>
      </c>
    </row>
    <row r="2250" spans="1:6" ht="58">
      <c r="A2250" s="1" t="s">
        <v>6640</v>
      </c>
      <c r="B2250" s="4" t="s">
        <v>6641</v>
      </c>
      <c r="C2250" s="3" t="s">
        <v>6642</v>
      </c>
      <c r="D2250" s="5" t="s">
        <v>8</v>
      </c>
      <c r="E2250" s="6">
        <f>VALUE(1095)</f>
        <v>1095</v>
      </c>
      <c r="F2250" s="5" t="s">
        <v>9</v>
      </c>
    </row>
    <row r="2251" spans="1:6" ht="58">
      <c r="A2251" s="1" t="s">
        <v>6643</v>
      </c>
      <c r="B2251" s="4" t="s">
        <v>6644</v>
      </c>
      <c r="C2251" s="3" t="s">
        <v>6645</v>
      </c>
      <c r="D2251" s="5" t="s">
        <v>8</v>
      </c>
      <c r="E2251" s="6">
        <f>VALUE(2845)</f>
        <v>2845</v>
      </c>
      <c r="F2251" s="5" t="s">
        <v>9</v>
      </c>
    </row>
    <row r="2252" spans="1:6" ht="43.5">
      <c r="A2252" s="1" t="s">
        <v>6646</v>
      </c>
      <c r="B2252" s="4" t="s">
        <v>6647</v>
      </c>
      <c r="C2252" s="3" t="s">
        <v>6648</v>
      </c>
      <c r="D2252" s="5" t="s">
        <v>8</v>
      </c>
      <c r="E2252" s="6">
        <f>VALUE(570)</f>
        <v>570</v>
      </c>
      <c r="F2252" s="5" t="s">
        <v>9</v>
      </c>
    </row>
    <row r="2253" spans="1:6" ht="43.5">
      <c r="A2253" s="1" t="s">
        <v>6649</v>
      </c>
      <c r="B2253" s="4" t="s">
        <v>6650</v>
      </c>
      <c r="C2253" s="3" t="s">
        <v>6651</v>
      </c>
      <c r="D2253" s="5" t="s">
        <v>8</v>
      </c>
      <c r="E2253" s="6">
        <f>VALUE(1200)</f>
        <v>1200</v>
      </c>
      <c r="F2253" s="5" t="s">
        <v>9</v>
      </c>
    </row>
    <row r="2254" spans="1:6" ht="43.5">
      <c r="A2254" s="1" t="s">
        <v>6652</v>
      </c>
      <c r="B2254" s="4" t="s">
        <v>6653</v>
      </c>
      <c r="C2254" s="3" t="s">
        <v>6654</v>
      </c>
      <c r="D2254" s="5" t="s">
        <v>8</v>
      </c>
      <c r="E2254" s="6">
        <f>VALUE(870)</f>
        <v>870</v>
      </c>
      <c r="F2254" s="5" t="s">
        <v>9</v>
      </c>
    </row>
    <row r="2255" spans="1:6" ht="43.5">
      <c r="A2255" s="1" t="s">
        <v>6655</v>
      </c>
      <c r="B2255" s="4" t="s">
        <v>6656</v>
      </c>
      <c r="C2255" s="3" t="s">
        <v>6657</v>
      </c>
      <c r="D2255" s="5" t="s">
        <v>8</v>
      </c>
      <c r="E2255" s="6">
        <f>VALUE(1750)</f>
        <v>1750</v>
      </c>
      <c r="F2255" s="5" t="s">
        <v>9</v>
      </c>
    </row>
    <row r="2256" spans="1:6" ht="29">
      <c r="A2256" s="1" t="s">
        <v>6658</v>
      </c>
      <c r="B2256" s="4" t="s">
        <v>6659</v>
      </c>
      <c r="C2256" s="3" t="s">
        <v>6660</v>
      </c>
      <c r="D2256" s="5" t="s">
        <v>8</v>
      </c>
      <c r="E2256" s="6">
        <f>VALUE(4605)</f>
        <v>4605</v>
      </c>
      <c r="F2256" s="5" t="s">
        <v>9</v>
      </c>
    </row>
    <row r="2257" spans="1:6" ht="29">
      <c r="A2257" s="1" t="s">
        <v>6661</v>
      </c>
      <c r="B2257" s="4" t="s">
        <v>6662</v>
      </c>
      <c r="C2257" s="3" t="s">
        <v>6661</v>
      </c>
      <c r="D2257" s="5" t="s">
        <v>8</v>
      </c>
      <c r="E2257" s="6">
        <f>VALUE(20745)</f>
        <v>20745</v>
      </c>
      <c r="F2257" s="5" t="s">
        <v>9</v>
      </c>
    </row>
    <row r="2258" spans="1:6" ht="29">
      <c r="A2258" s="1" t="s">
        <v>6663</v>
      </c>
      <c r="B2258" s="4" t="s">
        <v>6664</v>
      </c>
      <c r="C2258" s="3" t="s">
        <v>6663</v>
      </c>
      <c r="D2258" s="5" t="s">
        <v>8</v>
      </c>
      <c r="E2258" s="6">
        <f>VALUE(845)</f>
        <v>845</v>
      </c>
      <c r="F2258" s="5" t="s">
        <v>9</v>
      </c>
    </row>
    <row r="2259" spans="1:6" ht="43.5">
      <c r="A2259" s="1" t="s">
        <v>6665</v>
      </c>
      <c r="B2259" s="4" t="s">
        <v>6666</v>
      </c>
      <c r="C2259" s="3" t="s">
        <v>6667</v>
      </c>
      <c r="D2259" s="5" t="s">
        <v>8</v>
      </c>
      <c r="E2259" s="6">
        <f>VALUE(6995)</f>
        <v>6995</v>
      </c>
      <c r="F2259" s="5" t="s">
        <v>9</v>
      </c>
    </row>
    <row r="2260" spans="1:6" ht="29">
      <c r="A2260" s="1" t="s">
        <v>6668</v>
      </c>
      <c r="B2260" s="4" t="s">
        <v>6669</v>
      </c>
      <c r="C2260" s="3" t="s">
        <v>6668</v>
      </c>
      <c r="D2260" s="5" t="s">
        <v>8</v>
      </c>
      <c r="E2260" s="6">
        <f>VALUE(24125)</f>
        <v>24125</v>
      </c>
      <c r="F2260" s="5" t="s">
        <v>9</v>
      </c>
    </row>
    <row r="2261" spans="1:6" ht="29">
      <c r="A2261" s="1" t="s">
        <v>6670</v>
      </c>
      <c r="B2261" s="4" t="s">
        <v>6671</v>
      </c>
      <c r="C2261" s="3" t="s">
        <v>6672</v>
      </c>
      <c r="D2261" s="5" t="s">
        <v>8</v>
      </c>
      <c r="E2261" s="6">
        <f>VALUE(1025)</f>
        <v>1025</v>
      </c>
      <c r="F2261" s="5" t="s">
        <v>9</v>
      </c>
    </row>
    <row r="2262" spans="1:6" ht="43.5">
      <c r="A2262" s="1" t="s">
        <v>6673</v>
      </c>
      <c r="B2262" s="4" t="s">
        <v>6674</v>
      </c>
      <c r="C2262" s="3" t="s">
        <v>6675</v>
      </c>
      <c r="D2262" s="5" t="s">
        <v>8</v>
      </c>
      <c r="E2262" s="6">
        <f>VALUE(9375)</f>
        <v>9375</v>
      </c>
      <c r="F2262" s="5" t="s">
        <v>9</v>
      </c>
    </row>
    <row r="2263" spans="1:6" ht="29">
      <c r="A2263" s="1" t="s">
        <v>6676</v>
      </c>
      <c r="B2263" s="4" t="s">
        <v>6677</v>
      </c>
      <c r="C2263" s="3" t="s">
        <v>6676</v>
      </c>
      <c r="D2263" s="5" t="s">
        <v>8</v>
      </c>
      <c r="E2263" s="6">
        <f>VALUE(24125)</f>
        <v>24125</v>
      </c>
      <c r="F2263" s="5" t="s">
        <v>9</v>
      </c>
    </row>
    <row r="2264" spans="1:6" ht="29">
      <c r="A2264" s="1" t="s">
        <v>6678</v>
      </c>
      <c r="B2264" s="4" t="s">
        <v>6679</v>
      </c>
      <c r="C2264" s="3" t="s">
        <v>6680</v>
      </c>
      <c r="D2264" s="5" t="s">
        <v>8</v>
      </c>
      <c r="E2264" s="6">
        <f>VALUE(1025)</f>
        <v>1025</v>
      </c>
      <c r="F2264" s="5" t="s">
        <v>9</v>
      </c>
    </row>
    <row r="2265" spans="1:6" ht="43.5">
      <c r="A2265" s="1" t="s">
        <v>6681</v>
      </c>
      <c r="B2265" s="4" t="s">
        <v>6682</v>
      </c>
      <c r="C2265" s="3" t="s">
        <v>6683</v>
      </c>
      <c r="D2265" s="5" t="s">
        <v>8</v>
      </c>
      <c r="E2265" s="6">
        <f>VALUE(2375)</f>
        <v>2375</v>
      </c>
      <c r="F2265" s="5" t="s">
        <v>9</v>
      </c>
    </row>
    <row r="2266" spans="1:6" ht="29">
      <c r="A2266" s="1" t="s">
        <v>6684</v>
      </c>
      <c r="B2266" s="4" t="s">
        <v>6685</v>
      </c>
      <c r="C2266" s="3" t="s">
        <v>6684</v>
      </c>
      <c r="D2266" s="5" t="s">
        <v>8</v>
      </c>
      <c r="E2266" s="6">
        <f>VALUE(29155)</f>
        <v>29155</v>
      </c>
      <c r="F2266" s="5" t="s">
        <v>9</v>
      </c>
    </row>
    <row r="2267" spans="1:6" ht="29">
      <c r="A2267" s="1" t="s">
        <v>6686</v>
      </c>
      <c r="B2267" s="4" t="s">
        <v>6687</v>
      </c>
      <c r="C2267" s="3" t="s">
        <v>6688</v>
      </c>
      <c r="D2267" s="5" t="s">
        <v>8</v>
      </c>
      <c r="E2267" s="6">
        <f>VALUE(1245)</f>
        <v>1245</v>
      </c>
      <c r="F2267" s="5" t="s">
        <v>9</v>
      </c>
    </row>
    <row r="2268" spans="1:6" ht="43.5">
      <c r="A2268" s="1" t="s">
        <v>6689</v>
      </c>
      <c r="B2268" s="4" t="s">
        <v>6690</v>
      </c>
      <c r="C2268" s="3" t="s">
        <v>6691</v>
      </c>
      <c r="D2268" s="5" t="s">
        <v>8</v>
      </c>
      <c r="E2268" s="6">
        <f>VALUE(2415)</f>
        <v>2415</v>
      </c>
      <c r="F2268" s="5" t="s">
        <v>9</v>
      </c>
    </row>
    <row r="2269" spans="1:6" ht="29">
      <c r="A2269" s="1" t="s">
        <v>6692</v>
      </c>
      <c r="B2269" s="4" t="s">
        <v>6693</v>
      </c>
      <c r="C2269" s="3" t="s">
        <v>6692</v>
      </c>
      <c r="D2269" s="5" t="s">
        <v>8</v>
      </c>
      <c r="E2269" s="6">
        <f>VALUE(29155)</f>
        <v>29155</v>
      </c>
      <c r="F2269" s="5" t="s">
        <v>9</v>
      </c>
    </row>
    <row r="2270" spans="1:6" ht="29">
      <c r="A2270" s="1" t="s">
        <v>6694</v>
      </c>
      <c r="B2270" s="4" t="s">
        <v>6695</v>
      </c>
      <c r="C2270" s="3" t="s">
        <v>6696</v>
      </c>
      <c r="D2270" s="5" t="s">
        <v>8</v>
      </c>
      <c r="E2270" s="6">
        <f>VALUE(1245)</f>
        <v>1245</v>
      </c>
      <c r="F2270" s="5" t="s">
        <v>9</v>
      </c>
    </row>
    <row r="2271" spans="1:6" ht="43.5">
      <c r="A2271" s="1" t="s">
        <v>6697</v>
      </c>
      <c r="B2271" s="4" t="s">
        <v>6698</v>
      </c>
      <c r="C2271" s="3" t="s">
        <v>6699</v>
      </c>
      <c r="D2271" s="5" t="s">
        <v>8</v>
      </c>
      <c r="E2271" s="6">
        <f>VALUE(4235)</f>
        <v>4235</v>
      </c>
      <c r="F2271" s="5" t="s">
        <v>9</v>
      </c>
    </row>
    <row r="2272" spans="1:6" ht="29">
      <c r="A2272" s="1" t="s">
        <v>6700</v>
      </c>
      <c r="B2272" s="4" t="s">
        <v>6701</v>
      </c>
      <c r="C2272" s="3" t="s">
        <v>6700</v>
      </c>
      <c r="D2272" s="5" t="s">
        <v>8</v>
      </c>
      <c r="E2272" s="6">
        <f>VALUE(29155)</f>
        <v>29155</v>
      </c>
      <c r="F2272" s="5" t="s">
        <v>9</v>
      </c>
    </row>
    <row r="2273" spans="1:6" ht="29">
      <c r="A2273" s="1" t="s">
        <v>6702</v>
      </c>
      <c r="B2273" s="4" t="s">
        <v>6703</v>
      </c>
      <c r="C2273" s="3" t="s">
        <v>6704</v>
      </c>
      <c r="D2273" s="5" t="s">
        <v>8</v>
      </c>
      <c r="E2273" s="6">
        <f>VALUE(1245)</f>
        <v>1245</v>
      </c>
      <c r="F2273" s="5" t="s">
        <v>9</v>
      </c>
    </row>
    <row r="2274" spans="1:6" ht="43.5">
      <c r="A2274" s="1" t="s">
        <v>6705</v>
      </c>
      <c r="B2274" s="4" t="s">
        <v>6706</v>
      </c>
      <c r="C2274" s="3" t="s">
        <v>6707</v>
      </c>
      <c r="D2274" s="5" t="s">
        <v>8</v>
      </c>
      <c r="E2274" s="6">
        <f>VALUE(4355)</f>
        <v>4355</v>
      </c>
      <c r="F2274" s="5" t="s">
        <v>9</v>
      </c>
    </row>
    <row r="2275" spans="1:6" ht="29">
      <c r="A2275" s="1" t="s">
        <v>6708</v>
      </c>
      <c r="B2275" s="4" t="s">
        <v>6709</v>
      </c>
      <c r="C2275" s="3" t="s">
        <v>6708</v>
      </c>
      <c r="D2275" s="5" t="s">
        <v>8</v>
      </c>
      <c r="E2275" s="6">
        <f>VALUE(29155)</f>
        <v>29155</v>
      </c>
      <c r="F2275" s="5" t="s">
        <v>9</v>
      </c>
    </row>
    <row r="2276" spans="1:6" ht="29">
      <c r="A2276" s="1" t="s">
        <v>6710</v>
      </c>
      <c r="B2276" s="4" t="s">
        <v>6711</v>
      </c>
      <c r="C2276" s="3" t="s">
        <v>6712</v>
      </c>
      <c r="D2276" s="5" t="s">
        <v>8</v>
      </c>
      <c r="E2276" s="6">
        <f>VALUE(1245)</f>
        <v>1245</v>
      </c>
      <c r="F2276" s="5" t="s">
        <v>9</v>
      </c>
    </row>
    <row r="2277" spans="1:6" ht="29">
      <c r="A2277" s="1" t="s">
        <v>6713</v>
      </c>
      <c r="B2277" s="4" t="s">
        <v>6714</v>
      </c>
      <c r="C2277" s="3" t="s">
        <v>6715</v>
      </c>
      <c r="D2277" s="5" t="s">
        <v>8</v>
      </c>
      <c r="E2277" s="6">
        <f>VALUE(905)</f>
        <v>905</v>
      </c>
      <c r="F2277" s="5" t="s">
        <v>9</v>
      </c>
    </row>
    <row r="2278" spans="1:6" ht="29">
      <c r="A2278" s="1" t="s">
        <v>6716</v>
      </c>
      <c r="B2278" s="4" t="s">
        <v>6717</v>
      </c>
      <c r="C2278" s="3" t="s">
        <v>6716</v>
      </c>
      <c r="D2278" s="5" t="s">
        <v>8</v>
      </c>
      <c r="E2278" s="6">
        <f>VALUE(42255)</f>
        <v>42255</v>
      </c>
      <c r="F2278" s="5" t="s">
        <v>9</v>
      </c>
    </row>
    <row r="2279" spans="1:6" ht="29">
      <c r="A2279" s="1" t="s">
        <v>6718</v>
      </c>
      <c r="B2279" s="4" t="s">
        <v>6719</v>
      </c>
      <c r="C2279" s="3" t="s">
        <v>6720</v>
      </c>
      <c r="D2279" s="5" t="s">
        <v>8</v>
      </c>
      <c r="E2279" s="6">
        <f>VALUE(1795)</f>
        <v>1795</v>
      </c>
      <c r="F2279" s="5" t="s">
        <v>9</v>
      </c>
    </row>
    <row r="2280" spans="1:6" ht="29">
      <c r="A2280" s="1" t="s">
        <v>6721</v>
      </c>
      <c r="B2280" s="4" t="s">
        <v>6722</v>
      </c>
      <c r="C2280" s="3" t="s">
        <v>6723</v>
      </c>
      <c r="D2280" s="5" t="s">
        <v>8</v>
      </c>
      <c r="E2280" s="6">
        <f>VALUE(1155)</f>
        <v>1155</v>
      </c>
      <c r="F2280" s="5" t="s">
        <v>9</v>
      </c>
    </row>
    <row r="2281" spans="1:6" ht="29">
      <c r="A2281" s="1" t="s">
        <v>6724</v>
      </c>
      <c r="B2281" s="4" t="s">
        <v>6725</v>
      </c>
      <c r="C2281" s="3" t="s">
        <v>6724</v>
      </c>
      <c r="D2281" s="5" t="s">
        <v>8</v>
      </c>
      <c r="E2281" s="6">
        <f>VALUE(48215)</f>
        <v>48215</v>
      </c>
      <c r="F2281" s="5" t="s">
        <v>9</v>
      </c>
    </row>
    <row r="2282" spans="1:6" ht="29">
      <c r="A2282" s="1" t="s">
        <v>6726</v>
      </c>
      <c r="B2282" s="4" t="s">
        <v>6727</v>
      </c>
      <c r="C2282" s="3" t="s">
        <v>6728</v>
      </c>
      <c r="D2282" s="5" t="s">
        <v>8</v>
      </c>
      <c r="E2282" s="6">
        <f>VALUE(2045)</f>
        <v>2045</v>
      </c>
      <c r="F2282" s="5" t="s">
        <v>9</v>
      </c>
    </row>
    <row r="2283" spans="1:6" ht="43.5">
      <c r="A2283" s="1" t="s">
        <v>6729</v>
      </c>
      <c r="B2283" s="4" t="s">
        <v>6730</v>
      </c>
      <c r="C2283" s="3" t="s">
        <v>6731</v>
      </c>
      <c r="D2283" s="5" t="s">
        <v>8</v>
      </c>
      <c r="E2283" s="6">
        <f>VALUE(1655)</f>
        <v>1655</v>
      </c>
      <c r="F2283" s="5" t="s">
        <v>9</v>
      </c>
    </row>
    <row r="2284" spans="1:6" ht="29">
      <c r="A2284" s="1" t="s">
        <v>6732</v>
      </c>
      <c r="B2284" s="4" t="s">
        <v>6733</v>
      </c>
      <c r="C2284" s="3" t="s">
        <v>6732</v>
      </c>
      <c r="D2284" s="5" t="s">
        <v>8</v>
      </c>
      <c r="E2284" s="6">
        <f>VALUE(39605)</f>
        <v>39605</v>
      </c>
      <c r="F2284" s="5" t="s">
        <v>9</v>
      </c>
    </row>
    <row r="2285" spans="1:6" ht="29">
      <c r="A2285" s="1" t="s">
        <v>6734</v>
      </c>
      <c r="B2285" s="4" t="s">
        <v>6735</v>
      </c>
      <c r="C2285" s="3" t="s">
        <v>6736</v>
      </c>
      <c r="D2285" s="5" t="s">
        <v>8</v>
      </c>
      <c r="E2285" s="6">
        <f>VALUE(1685)</f>
        <v>1685</v>
      </c>
      <c r="F2285" s="5" t="s">
        <v>9</v>
      </c>
    </row>
    <row r="2286" spans="1:6" ht="58">
      <c r="A2286" s="1" t="s">
        <v>6737</v>
      </c>
      <c r="B2286" s="4" t="s">
        <v>6738</v>
      </c>
      <c r="C2286" s="3" t="s">
        <v>6739</v>
      </c>
      <c r="D2286" s="5" t="s">
        <v>8</v>
      </c>
      <c r="E2286" s="6">
        <f>VALUE(4405)</f>
        <v>4405</v>
      </c>
      <c r="F2286" s="5" t="s">
        <v>9</v>
      </c>
    </row>
    <row r="2287" spans="1:6" ht="29">
      <c r="A2287" s="1" t="s">
        <v>6740</v>
      </c>
      <c r="B2287" s="4" t="s">
        <v>6741</v>
      </c>
      <c r="C2287" s="3" t="s">
        <v>6740</v>
      </c>
      <c r="D2287" s="5" t="s">
        <v>8</v>
      </c>
      <c r="E2287" s="6">
        <f>VALUE(25295)</f>
        <v>25295</v>
      </c>
      <c r="F2287" s="5" t="s">
        <v>9</v>
      </c>
    </row>
    <row r="2288" spans="1:6" ht="29">
      <c r="A2288" s="1" t="s">
        <v>6742</v>
      </c>
      <c r="B2288" s="4" t="s">
        <v>6743</v>
      </c>
      <c r="C2288" s="3" t="s">
        <v>6744</v>
      </c>
      <c r="D2288" s="5" t="s">
        <v>8</v>
      </c>
      <c r="E2288" s="6">
        <f>VALUE(1075)</f>
        <v>1075</v>
      </c>
      <c r="F2288" s="5" t="s">
        <v>9</v>
      </c>
    </row>
    <row r="2289" spans="1:6" ht="58">
      <c r="A2289" s="1" t="s">
        <v>6745</v>
      </c>
      <c r="B2289" s="4" t="s">
        <v>6746</v>
      </c>
      <c r="C2289" s="3" t="s">
        <v>6747</v>
      </c>
      <c r="D2289" s="5" t="s">
        <v>8</v>
      </c>
      <c r="E2289" s="6">
        <f>VALUE(9495)</f>
        <v>9495</v>
      </c>
      <c r="F2289" s="5" t="s">
        <v>9</v>
      </c>
    </row>
    <row r="2290" spans="1:6" ht="58">
      <c r="A2290" s="1" t="s">
        <v>6748</v>
      </c>
      <c r="B2290" s="4" t="s">
        <v>6746</v>
      </c>
      <c r="C2290" s="3" t="s">
        <v>6749</v>
      </c>
      <c r="D2290" s="5" t="s">
        <v>8</v>
      </c>
      <c r="E2290" s="6">
        <f>VALUE(385)</f>
        <v>385</v>
      </c>
      <c r="F2290" s="5" t="s">
        <v>9</v>
      </c>
    </row>
    <row r="2291" spans="1:6" ht="58">
      <c r="A2291" s="1" t="s">
        <v>6750</v>
      </c>
      <c r="B2291" s="4" t="s">
        <v>6751</v>
      </c>
      <c r="C2291" s="3" t="s">
        <v>6750</v>
      </c>
      <c r="D2291" s="5" t="s">
        <v>8</v>
      </c>
      <c r="E2291" s="6">
        <f>VALUE(39995)</f>
        <v>39995</v>
      </c>
      <c r="F2291" s="5" t="s">
        <v>9</v>
      </c>
    </row>
    <row r="2292" spans="1:6" ht="58">
      <c r="A2292" s="1" t="s">
        <v>6752</v>
      </c>
      <c r="B2292" s="4" t="s">
        <v>6753</v>
      </c>
      <c r="C2292" s="3" t="s">
        <v>6754</v>
      </c>
      <c r="D2292" s="5" t="s">
        <v>8</v>
      </c>
      <c r="E2292" s="6">
        <f>VALUE(1695)</f>
        <v>1695</v>
      </c>
      <c r="F2292" s="5" t="s">
        <v>9</v>
      </c>
    </row>
    <row r="2293" spans="1:6" ht="58">
      <c r="A2293" s="1" t="s">
        <v>6755</v>
      </c>
      <c r="B2293" s="4" t="s">
        <v>6756</v>
      </c>
      <c r="C2293" s="3" t="s">
        <v>6755</v>
      </c>
      <c r="D2293" s="5" t="s">
        <v>8</v>
      </c>
      <c r="E2293" s="6">
        <f>VALUE(19995)</f>
        <v>19995</v>
      </c>
      <c r="F2293" s="5" t="s">
        <v>9</v>
      </c>
    </row>
    <row r="2294" spans="1:6" ht="58">
      <c r="A2294" s="1" t="s">
        <v>6757</v>
      </c>
      <c r="B2294" s="4" t="s">
        <v>6758</v>
      </c>
      <c r="C2294" s="3" t="s">
        <v>6759</v>
      </c>
      <c r="D2294" s="5" t="s">
        <v>8</v>
      </c>
      <c r="E2294" s="6">
        <f>VALUE(855)</f>
        <v>855</v>
      </c>
      <c r="F2294" s="5" t="s">
        <v>9</v>
      </c>
    </row>
    <row r="2295" spans="1:6" ht="58">
      <c r="A2295" s="1" t="s">
        <v>6760</v>
      </c>
      <c r="B2295" s="4" t="s">
        <v>6761</v>
      </c>
      <c r="C2295" s="3" t="s">
        <v>6760</v>
      </c>
      <c r="D2295" s="5" t="s">
        <v>8</v>
      </c>
      <c r="E2295" s="6">
        <f>VALUE(7995)</f>
        <v>7995</v>
      </c>
      <c r="F2295" s="5" t="s">
        <v>9</v>
      </c>
    </row>
    <row r="2296" spans="1:6" ht="58">
      <c r="A2296" s="1" t="s">
        <v>6762</v>
      </c>
      <c r="B2296" s="4" t="s">
        <v>6763</v>
      </c>
      <c r="C2296" s="3" t="s">
        <v>6764</v>
      </c>
      <c r="D2296" s="5" t="s">
        <v>8</v>
      </c>
      <c r="E2296" s="6">
        <f>VALUE(355)</f>
        <v>355</v>
      </c>
      <c r="F2296" s="5" t="s">
        <v>9</v>
      </c>
    </row>
    <row r="2297" spans="1:6" ht="58">
      <c r="A2297" s="1" t="s">
        <v>6765</v>
      </c>
      <c r="B2297" s="4" t="s">
        <v>6766</v>
      </c>
      <c r="C2297" s="3" t="s">
        <v>6765</v>
      </c>
      <c r="D2297" s="5" t="s">
        <v>8</v>
      </c>
      <c r="E2297" s="6">
        <f>VALUE(6995)</f>
        <v>6995</v>
      </c>
      <c r="F2297" s="5" t="s">
        <v>9</v>
      </c>
    </row>
    <row r="2298" spans="1:6" ht="58">
      <c r="A2298" s="1" t="s">
        <v>6767</v>
      </c>
      <c r="B2298" s="4" t="s">
        <v>6768</v>
      </c>
      <c r="C2298" s="3" t="s">
        <v>6769</v>
      </c>
      <c r="D2298" s="5" t="s">
        <v>8</v>
      </c>
      <c r="E2298" s="6">
        <f>VALUE(315)</f>
        <v>315</v>
      </c>
      <c r="F2298" s="5" t="s">
        <v>9</v>
      </c>
    </row>
    <row r="2299" spans="1:6" ht="58">
      <c r="A2299" s="1" t="s">
        <v>6770</v>
      </c>
      <c r="B2299" s="4" t="s">
        <v>6771</v>
      </c>
      <c r="C2299" s="3" t="s">
        <v>6770</v>
      </c>
      <c r="D2299" s="5" t="s">
        <v>8</v>
      </c>
      <c r="E2299" s="6">
        <f>VALUE(26995)</f>
        <v>26995</v>
      </c>
      <c r="F2299" s="5" t="s">
        <v>9</v>
      </c>
    </row>
    <row r="2300" spans="1:6" ht="58">
      <c r="A2300" s="1" t="s">
        <v>6772</v>
      </c>
      <c r="B2300" s="4" t="s">
        <v>6773</v>
      </c>
      <c r="C2300" s="3" t="s">
        <v>6774</v>
      </c>
      <c r="D2300" s="5" t="s">
        <v>8</v>
      </c>
      <c r="E2300" s="6">
        <f>VALUE(1155)</f>
        <v>1155</v>
      </c>
      <c r="F2300" s="5" t="s">
        <v>9</v>
      </c>
    </row>
    <row r="2301" spans="1:6" ht="58">
      <c r="A2301" s="1" t="s">
        <v>6775</v>
      </c>
      <c r="B2301" s="4" t="s">
        <v>6776</v>
      </c>
      <c r="C2301" s="3" t="s">
        <v>6775</v>
      </c>
      <c r="D2301" s="5" t="s">
        <v>8</v>
      </c>
      <c r="E2301" s="6">
        <f>VALUE(19995)</f>
        <v>19995</v>
      </c>
      <c r="F2301" s="5" t="s">
        <v>9</v>
      </c>
    </row>
    <row r="2302" spans="1:6" ht="58">
      <c r="A2302" s="1" t="s">
        <v>6777</v>
      </c>
      <c r="B2302" s="4" t="s">
        <v>6778</v>
      </c>
      <c r="C2302" s="3" t="s">
        <v>6779</v>
      </c>
      <c r="D2302" s="5" t="s">
        <v>8</v>
      </c>
      <c r="E2302" s="6">
        <f>VALUE(855)</f>
        <v>855</v>
      </c>
      <c r="F2302" s="5" t="s">
        <v>9</v>
      </c>
    </row>
    <row r="2303" spans="1:6" ht="58">
      <c r="A2303" s="1" t="s">
        <v>6780</v>
      </c>
      <c r="B2303" s="4" t="s">
        <v>6781</v>
      </c>
      <c r="C2303" s="3" t="s">
        <v>6780</v>
      </c>
      <c r="D2303" s="5" t="s">
        <v>8</v>
      </c>
      <c r="E2303" s="6">
        <f>VALUE(19995)</f>
        <v>19995</v>
      </c>
      <c r="F2303" s="5" t="s">
        <v>9</v>
      </c>
    </row>
    <row r="2304" spans="1:6" ht="58">
      <c r="A2304" s="1" t="s">
        <v>6782</v>
      </c>
      <c r="B2304" s="4" t="s">
        <v>6783</v>
      </c>
      <c r="C2304" s="3" t="s">
        <v>6784</v>
      </c>
      <c r="D2304" s="5" t="s">
        <v>8</v>
      </c>
      <c r="E2304" s="6">
        <f>VALUE(855)</f>
        <v>855</v>
      </c>
      <c r="F2304" s="5" t="s">
        <v>9</v>
      </c>
    </row>
    <row r="2305" spans="1:6" ht="58">
      <c r="A2305" s="1" t="s">
        <v>6785</v>
      </c>
      <c r="B2305" s="4" t="s">
        <v>6786</v>
      </c>
      <c r="C2305" s="3" t="s">
        <v>6785</v>
      </c>
      <c r="D2305" s="5" t="s">
        <v>8</v>
      </c>
      <c r="E2305" s="6">
        <f>VALUE(35995)</f>
        <v>35995</v>
      </c>
      <c r="F2305" s="5" t="s">
        <v>9</v>
      </c>
    </row>
    <row r="2306" spans="1:6" ht="58">
      <c r="A2306" s="1" t="s">
        <v>6787</v>
      </c>
      <c r="B2306" s="4" t="s">
        <v>6788</v>
      </c>
      <c r="C2306" s="3" t="s">
        <v>6789</v>
      </c>
      <c r="D2306" s="5" t="s">
        <v>8</v>
      </c>
      <c r="E2306" s="6">
        <f>VALUE(1525)</f>
        <v>1525</v>
      </c>
      <c r="F2306" s="5" t="s">
        <v>9</v>
      </c>
    </row>
    <row r="2307" spans="1:6" ht="58">
      <c r="A2307" s="1" t="s">
        <v>6790</v>
      </c>
      <c r="B2307" s="4" t="s">
        <v>6791</v>
      </c>
      <c r="C2307" s="3" t="s">
        <v>6790</v>
      </c>
      <c r="D2307" s="5" t="s">
        <v>8</v>
      </c>
      <c r="E2307" s="6">
        <f>VALUE(52995)</f>
        <v>52995</v>
      </c>
      <c r="F2307" s="5" t="s">
        <v>9</v>
      </c>
    </row>
    <row r="2308" spans="1:6" ht="72.5">
      <c r="A2308" s="1" t="s">
        <v>6792</v>
      </c>
      <c r="B2308" s="4" t="s">
        <v>6793</v>
      </c>
      <c r="C2308" s="3" t="s">
        <v>6794</v>
      </c>
      <c r="D2308" s="5" t="s">
        <v>8</v>
      </c>
      <c r="E2308" s="6">
        <f>VALUE(2245)</f>
        <v>2245</v>
      </c>
      <c r="F2308" s="5" t="s">
        <v>9</v>
      </c>
    </row>
    <row r="2309" spans="1:6" ht="58">
      <c r="A2309" s="1" t="s">
        <v>6795</v>
      </c>
      <c r="B2309" s="4" t="s">
        <v>6796</v>
      </c>
      <c r="C2309" s="3" t="s">
        <v>6795</v>
      </c>
      <c r="D2309" s="5" t="s">
        <v>8</v>
      </c>
      <c r="E2309" s="6">
        <f>VALUE(19995)</f>
        <v>19995</v>
      </c>
      <c r="F2309" s="5" t="s">
        <v>9</v>
      </c>
    </row>
    <row r="2310" spans="1:6" ht="58">
      <c r="A2310" s="1" t="s">
        <v>6797</v>
      </c>
      <c r="B2310" s="4" t="s">
        <v>6798</v>
      </c>
      <c r="C2310" s="3" t="s">
        <v>6799</v>
      </c>
      <c r="D2310" s="5" t="s">
        <v>8</v>
      </c>
      <c r="E2310" s="6">
        <f>VALUE(855)</f>
        <v>855</v>
      </c>
      <c r="F2310" s="5" t="s">
        <v>9</v>
      </c>
    </row>
    <row r="2311" spans="1:6" ht="58">
      <c r="A2311" s="1" t="s">
        <v>6800</v>
      </c>
      <c r="B2311" s="4" t="s">
        <v>6801</v>
      </c>
      <c r="C2311" s="3" t="s">
        <v>6800</v>
      </c>
      <c r="D2311" s="5" t="s">
        <v>8</v>
      </c>
      <c r="E2311" s="6">
        <f>VALUE(52995)</f>
        <v>52995</v>
      </c>
      <c r="F2311" s="5" t="s">
        <v>9</v>
      </c>
    </row>
    <row r="2312" spans="1:6" ht="58">
      <c r="A2312" s="1" t="s">
        <v>6802</v>
      </c>
      <c r="B2312" s="4" t="s">
        <v>6803</v>
      </c>
      <c r="C2312" s="3" t="s">
        <v>6804</v>
      </c>
      <c r="D2312" s="5" t="s">
        <v>8</v>
      </c>
      <c r="E2312" s="6">
        <f>VALUE(2245)</f>
        <v>2245</v>
      </c>
      <c r="F2312" s="5" t="s">
        <v>9</v>
      </c>
    </row>
    <row r="2313" spans="1:6" ht="43.5">
      <c r="A2313" s="1" t="s">
        <v>6805</v>
      </c>
      <c r="B2313" s="4" t="s">
        <v>6806</v>
      </c>
      <c r="C2313" s="3" t="s">
        <v>6807</v>
      </c>
      <c r="D2313" s="5" t="s">
        <v>8</v>
      </c>
      <c r="E2313" s="6">
        <f>VALUE(1555)</f>
        <v>1555</v>
      </c>
      <c r="F2313" s="5" t="s">
        <v>9</v>
      </c>
    </row>
    <row r="2314" spans="1:6" ht="43.5">
      <c r="A2314" s="1" t="s">
        <v>6808</v>
      </c>
      <c r="B2314" s="4" t="s">
        <v>6809</v>
      </c>
      <c r="C2314" s="3" t="s">
        <v>6810</v>
      </c>
      <c r="D2314" s="5" t="s">
        <v>8</v>
      </c>
      <c r="E2314" s="6">
        <f>VALUE(1555)</f>
        <v>1555</v>
      </c>
      <c r="F2314" s="5" t="s">
        <v>9</v>
      </c>
    </row>
    <row r="2315" spans="1:6" ht="43.5">
      <c r="A2315" s="1" t="s">
        <v>6811</v>
      </c>
      <c r="B2315" s="4" t="s">
        <v>6812</v>
      </c>
      <c r="C2315" s="3" t="s">
        <v>6813</v>
      </c>
      <c r="D2315" s="5" t="s">
        <v>8</v>
      </c>
      <c r="E2315" s="6">
        <f>VALUE(815)</f>
        <v>815</v>
      </c>
      <c r="F2315" s="5" t="s">
        <v>9</v>
      </c>
    </row>
    <row r="2316" spans="1:6" ht="58">
      <c r="A2316" s="1" t="s">
        <v>6814</v>
      </c>
      <c r="B2316" s="4" t="s">
        <v>6815</v>
      </c>
      <c r="C2316" s="3" t="s">
        <v>6816</v>
      </c>
      <c r="D2316" s="5" t="s">
        <v>8</v>
      </c>
      <c r="E2316" s="6">
        <f>VALUE(2935)</f>
        <v>2935</v>
      </c>
      <c r="F2316" s="5" t="s">
        <v>9</v>
      </c>
    </row>
    <row r="2317" spans="1:6" ht="29">
      <c r="A2317" s="1" t="s">
        <v>6817</v>
      </c>
      <c r="B2317" s="4" t="s">
        <v>6818</v>
      </c>
      <c r="C2317" s="3" t="s">
        <v>6817</v>
      </c>
      <c r="D2317" s="5" t="s">
        <v>8</v>
      </c>
      <c r="E2317" s="6">
        <f>VALUE(21545)</f>
        <v>21545</v>
      </c>
      <c r="F2317" s="5" t="s">
        <v>9</v>
      </c>
    </row>
    <row r="2318" spans="1:6" ht="29">
      <c r="A2318" s="1" t="s">
        <v>6819</v>
      </c>
      <c r="B2318" s="4" t="s">
        <v>6820</v>
      </c>
      <c r="C2318" s="3" t="s">
        <v>6821</v>
      </c>
      <c r="D2318" s="5" t="s">
        <v>8</v>
      </c>
      <c r="E2318" s="6">
        <f>VALUE(915)</f>
        <v>915</v>
      </c>
      <c r="F2318" s="5" t="s">
        <v>9</v>
      </c>
    </row>
    <row r="2319" spans="1:6" ht="58">
      <c r="A2319" s="1" t="s">
        <v>6822</v>
      </c>
      <c r="B2319" s="4" t="s">
        <v>6823</v>
      </c>
      <c r="C2319" s="3" t="s">
        <v>6824</v>
      </c>
      <c r="D2319" s="5" t="s">
        <v>8</v>
      </c>
      <c r="E2319" s="6">
        <f>VALUE(3325)</f>
        <v>3325</v>
      </c>
      <c r="F2319" s="5" t="s">
        <v>9</v>
      </c>
    </row>
    <row r="2320" spans="1:6" ht="29">
      <c r="A2320" s="1" t="s">
        <v>6825</v>
      </c>
      <c r="B2320" s="4" t="s">
        <v>6826</v>
      </c>
      <c r="C2320" s="3" t="s">
        <v>6825</v>
      </c>
      <c r="D2320" s="5" t="s">
        <v>8</v>
      </c>
      <c r="E2320" s="6">
        <f>VALUE(26225)</f>
        <v>26225</v>
      </c>
      <c r="F2320" s="5" t="s">
        <v>9</v>
      </c>
    </row>
    <row r="2321" spans="1:6" ht="29">
      <c r="A2321" s="1" t="s">
        <v>6827</v>
      </c>
      <c r="B2321" s="4" t="s">
        <v>6828</v>
      </c>
      <c r="C2321" s="3" t="s">
        <v>6829</v>
      </c>
      <c r="D2321" s="5" t="s">
        <v>8</v>
      </c>
      <c r="E2321" s="6">
        <f>VALUE(1115)</f>
        <v>1115</v>
      </c>
      <c r="F2321" s="5" t="s">
        <v>9</v>
      </c>
    </row>
    <row r="2322" spans="1:6" ht="43.5">
      <c r="A2322" s="1" t="s">
        <v>6830</v>
      </c>
      <c r="B2322" s="4" t="s">
        <v>6831</v>
      </c>
      <c r="C2322" s="3" t="s">
        <v>6830</v>
      </c>
      <c r="D2322" s="5" t="s">
        <v>8</v>
      </c>
      <c r="E2322" s="6">
        <f>VALUE(14995)</f>
        <v>14995</v>
      </c>
      <c r="F2322" s="5" t="s">
        <v>9</v>
      </c>
    </row>
    <row r="2323" spans="1:6" ht="58">
      <c r="A2323" s="1" t="s">
        <v>6832</v>
      </c>
      <c r="B2323" s="4" t="s">
        <v>6833</v>
      </c>
      <c r="C2323" s="3" t="s">
        <v>6834</v>
      </c>
      <c r="D2323" s="5" t="s">
        <v>8</v>
      </c>
      <c r="E2323" s="6">
        <f>VALUE(645)</f>
        <v>645</v>
      </c>
      <c r="F2323" s="5" t="s">
        <v>9</v>
      </c>
    </row>
    <row r="2324" spans="1:6" ht="43.5">
      <c r="A2324" s="1" t="s">
        <v>6835</v>
      </c>
      <c r="B2324" s="4" t="s">
        <v>6836</v>
      </c>
      <c r="C2324" s="3" t="s">
        <v>6835</v>
      </c>
      <c r="D2324" s="5" t="s">
        <v>8</v>
      </c>
      <c r="E2324" s="6">
        <f>VALUE(5995)</f>
        <v>5995</v>
      </c>
      <c r="F2324" s="5" t="s">
        <v>9</v>
      </c>
    </row>
    <row r="2325" spans="1:6" ht="58">
      <c r="A2325" s="1" t="s">
        <v>6837</v>
      </c>
      <c r="B2325" s="4" t="s">
        <v>6838</v>
      </c>
      <c r="C2325" s="3" t="s">
        <v>6839</v>
      </c>
      <c r="D2325" s="5" t="s">
        <v>8</v>
      </c>
      <c r="E2325" s="6">
        <f>VALUE(265)</f>
        <v>265</v>
      </c>
      <c r="F2325" s="5" t="s">
        <v>9</v>
      </c>
    </row>
    <row r="2326" spans="1:6" ht="43.5">
      <c r="A2326" s="1" t="s">
        <v>6840</v>
      </c>
      <c r="B2326" s="4" t="s">
        <v>6841</v>
      </c>
      <c r="C2326" s="3" t="s">
        <v>6840</v>
      </c>
      <c r="D2326" s="5" t="s">
        <v>8</v>
      </c>
      <c r="E2326" s="6">
        <f>VALUE(4995)</f>
        <v>4995</v>
      </c>
      <c r="F2326" s="5" t="s">
        <v>9</v>
      </c>
    </row>
    <row r="2327" spans="1:6" ht="58">
      <c r="A2327" s="1" t="s">
        <v>6842</v>
      </c>
      <c r="B2327" s="4" t="s">
        <v>6843</v>
      </c>
      <c r="C2327" s="3" t="s">
        <v>6844</v>
      </c>
      <c r="D2327" s="5" t="s">
        <v>8</v>
      </c>
      <c r="E2327" s="6">
        <f>VALUE(225)</f>
        <v>225</v>
      </c>
      <c r="F2327" s="5" t="s">
        <v>9</v>
      </c>
    </row>
    <row r="2328" spans="1:6" ht="43.5">
      <c r="A2328" s="1" t="s">
        <v>6845</v>
      </c>
      <c r="B2328" s="4" t="s">
        <v>6846</v>
      </c>
      <c r="C2328" s="3" t="s">
        <v>6845</v>
      </c>
      <c r="D2328" s="5" t="s">
        <v>8</v>
      </c>
      <c r="E2328" s="6">
        <f>VALUE(19995)</f>
        <v>19995</v>
      </c>
      <c r="F2328" s="5" t="s">
        <v>9</v>
      </c>
    </row>
    <row r="2329" spans="1:6" ht="58">
      <c r="A2329" s="1" t="s">
        <v>6847</v>
      </c>
      <c r="B2329" s="4" t="s">
        <v>6848</v>
      </c>
      <c r="C2329" s="3" t="s">
        <v>6849</v>
      </c>
      <c r="D2329" s="5" t="s">
        <v>8</v>
      </c>
      <c r="E2329" s="6">
        <f>VALUE(855)</f>
        <v>855</v>
      </c>
      <c r="F2329" s="5" t="s">
        <v>9</v>
      </c>
    </row>
    <row r="2330" spans="1:6" ht="43.5">
      <c r="A2330" s="1" t="s">
        <v>6850</v>
      </c>
      <c r="B2330" s="4" t="s">
        <v>6851</v>
      </c>
      <c r="C2330" s="3" t="s">
        <v>6850</v>
      </c>
      <c r="D2330" s="5" t="s">
        <v>8</v>
      </c>
      <c r="E2330" s="6">
        <f>VALUE(14995)</f>
        <v>14995</v>
      </c>
      <c r="F2330" s="5" t="s">
        <v>9</v>
      </c>
    </row>
    <row r="2331" spans="1:6" ht="58">
      <c r="A2331" s="1" t="s">
        <v>6852</v>
      </c>
      <c r="B2331" s="4" t="s">
        <v>6853</v>
      </c>
      <c r="C2331" s="3" t="s">
        <v>6854</v>
      </c>
      <c r="D2331" s="5" t="s">
        <v>8</v>
      </c>
      <c r="E2331" s="6">
        <f>VALUE(645)</f>
        <v>645</v>
      </c>
      <c r="F2331" s="5" t="s">
        <v>9</v>
      </c>
    </row>
    <row r="2332" spans="1:6" ht="58">
      <c r="A2332" s="1" t="s">
        <v>6855</v>
      </c>
      <c r="B2332" s="4" t="s">
        <v>6856</v>
      </c>
      <c r="C2332" s="3" t="s">
        <v>6855</v>
      </c>
      <c r="D2332" s="5" t="s">
        <v>8</v>
      </c>
      <c r="E2332" s="6">
        <f>VALUE(9995)</f>
        <v>9995</v>
      </c>
      <c r="F2332" s="5" t="s">
        <v>9</v>
      </c>
    </row>
    <row r="2333" spans="1:6" ht="58">
      <c r="A2333" s="1" t="s">
        <v>6857</v>
      </c>
      <c r="B2333" s="4" t="s">
        <v>6858</v>
      </c>
      <c r="C2333" s="3" t="s">
        <v>6857</v>
      </c>
      <c r="D2333" s="5" t="s">
        <v>8</v>
      </c>
      <c r="E2333" s="6">
        <f>VALUE(415)</f>
        <v>415</v>
      </c>
      <c r="F2333" s="5" t="s">
        <v>9</v>
      </c>
    </row>
    <row r="2334" spans="1:6" ht="43.5">
      <c r="A2334" s="1" t="s">
        <v>6859</v>
      </c>
      <c r="B2334" s="4" t="s">
        <v>6860</v>
      </c>
      <c r="C2334" s="3" t="s">
        <v>6859</v>
      </c>
      <c r="D2334" s="5" t="s">
        <v>8</v>
      </c>
      <c r="E2334" s="6">
        <f>VALUE(14995)</f>
        <v>14995</v>
      </c>
      <c r="F2334" s="5" t="s">
        <v>9</v>
      </c>
    </row>
    <row r="2335" spans="1:6" ht="58">
      <c r="A2335" s="1" t="s">
        <v>6861</v>
      </c>
      <c r="B2335" s="4" t="s">
        <v>6862</v>
      </c>
      <c r="C2335" s="3" t="s">
        <v>6863</v>
      </c>
      <c r="D2335" s="5" t="s">
        <v>8</v>
      </c>
      <c r="E2335" s="6">
        <f>VALUE(645)</f>
        <v>645</v>
      </c>
      <c r="F2335" s="5" t="s">
        <v>9</v>
      </c>
    </row>
    <row r="2336" spans="1:6" ht="43.5">
      <c r="A2336" s="1" t="s">
        <v>6864</v>
      </c>
      <c r="B2336" s="4" t="s">
        <v>6865</v>
      </c>
      <c r="C2336" s="3" t="s">
        <v>6864</v>
      </c>
      <c r="D2336" s="5" t="s">
        <v>8</v>
      </c>
      <c r="E2336" s="6">
        <f>VALUE(17995)</f>
        <v>17995</v>
      </c>
      <c r="F2336" s="5" t="s">
        <v>9</v>
      </c>
    </row>
    <row r="2337" spans="1:6" ht="58">
      <c r="A2337" s="1" t="s">
        <v>6866</v>
      </c>
      <c r="B2337" s="4" t="s">
        <v>6867</v>
      </c>
      <c r="C2337" s="3" t="s">
        <v>6868</v>
      </c>
      <c r="D2337" s="5" t="s">
        <v>8</v>
      </c>
      <c r="E2337" s="6">
        <f>VALUE(765)</f>
        <v>765</v>
      </c>
      <c r="F2337" s="5" t="s">
        <v>9</v>
      </c>
    </row>
    <row r="2338" spans="1:6" ht="58">
      <c r="A2338" s="1" t="s">
        <v>6869</v>
      </c>
      <c r="B2338" s="4" t="s">
        <v>6870</v>
      </c>
      <c r="C2338" s="3" t="s">
        <v>6869</v>
      </c>
      <c r="D2338" s="5" t="s">
        <v>8</v>
      </c>
      <c r="E2338" s="6">
        <f>VALUE(29995)</f>
        <v>29995</v>
      </c>
      <c r="F2338" s="5" t="s">
        <v>9</v>
      </c>
    </row>
    <row r="2339" spans="1:6" ht="58">
      <c r="A2339" s="1" t="s">
        <v>6871</v>
      </c>
      <c r="B2339" s="4" t="s">
        <v>6872</v>
      </c>
      <c r="C2339" s="3" t="s">
        <v>6873</v>
      </c>
      <c r="D2339" s="5" t="s">
        <v>8</v>
      </c>
      <c r="E2339" s="6">
        <f>VALUE(1275)</f>
        <v>1275</v>
      </c>
      <c r="F2339" s="5" t="s">
        <v>9</v>
      </c>
    </row>
    <row r="2340" spans="1:6" ht="58">
      <c r="A2340" s="1" t="s">
        <v>6874</v>
      </c>
      <c r="B2340" s="4" t="s">
        <v>6875</v>
      </c>
      <c r="C2340" s="3" t="s">
        <v>6874</v>
      </c>
      <c r="D2340" s="5" t="s">
        <v>8</v>
      </c>
      <c r="E2340" s="6">
        <f>VALUE(11995)</f>
        <v>11995</v>
      </c>
      <c r="F2340" s="5" t="s">
        <v>9</v>
      </c>
    </row>
    <row r="2341" spans="1:6" ht="58">
      <c r="A2341" s="1" t="s">
        <v>6876</v>
      </c>
      <c r="B2341" s="4" t="s">
        <v>6877</v>
      </c>
      <c r="C2341" s="3" t="s">
        <v>6878</v>
      </c>
      <c r="D2341" s="5" t="s">
        <v>8</v>
      </c>
      <c r="E2341" s="6">
        <f>VALUE(515)</f>
        <v>515</v>
      </c>
      <c r="F2341" s="5" t="s">
        <v>9</v>
      </c>
    </row>
    <row r="2342" spans="1:6" ht="58">
      <c r="A2342" s="1" t="s">
        <v>6879</v>
      </c>
      <c r="B2342" s="4" t="s">
        <v>6880</v>
      </c>
      <c r="C2342" s="3" t="s">
        <v>6879</v>
      </c>
      <c r="D2342" s="5" t="s">
        <v>8</v>
      </c>
      <c r="E2342" s="6">
        <f>VALUE(19995)</f>
        <v>19995</v>
      </c>
      <c r="F2342" s="5" t="s">
        <v>9</v>
      </c>
    </row>
    <row r="2343" spans="1:6" ht="58">
      <c r="A2343" s="1" t="s">
        <v>6881</v>
      </c>
      <c r="B2343" s="4" t="s">
        <v>6882</v>
      </c>
      <c r="C2343" s="3" t="s">
        <v>6883</v>
      </c>
      <c r="D2343" s="5" t="s">
        <v>8</v>
      </c>
      <c r="E2343" s="6">
        <f>VALUE(855)</f>
        <v>855</v>
      </c>
      <c r="F2343" s="5" t="s">
        <v>9</v>
      </c>
    </row>
    <row r="2344" spans="1:6" ht="58">
      <c r="A2344" s="1" t="s">
        <v>6884</v>
      </c>
      <c r="B2344" s="4" t="s">
        <v>6885</v>
      </c>
      <c r="C2344" s="3" t="s">
        <v>6884</v>
      </c>
      <c r="D2344" s="5" t="s">
        <v>8</v>
      </c>
      <c r="E2344" s="6">
        <f>VALUE(29995)</f>
        <v>29995</v>
      </c>
      <c r="F2344" s="5" t="s">
        <v>9</v>
      </c>
    </row>
    <row r="2345" spans="1:6" ht="58">
      <c r="A2345" s="1" t="s">
        <v>6886</v>
      </c>
      <c r="B2345" s="4" t="s">
        <v>6887</v>
      </c>
      <c r="C2345" s="3" t="s">
        <v>6888</v>
      </c>
      <c r="D2345" s="5" t="s">
        <v>8</v>
      </c>
      <c r="E2345" s="6">
        <f>VALUE(1275)</f>
        <v>1275</v>
      </c>
      <c r="F2345" s="5" t="s">
        <v>9</v>
      </c>
    </row>
    <row r="2346" spans="1:6" ht="58">
      <c r="A2346" s="1" t="s">
        <v>6889</v>
      </c>
      <c r="B2346" s="4" t="s">
        <v>6890</v>
      </c>
      <c r="C2346" s="3" t="s">
        <v>6889</v>
      </c>
      <c r="D2346" s="5" t="s">
        <v>8</v>
      </c>
      <c r="E2346" s="6">
        <f>VALUE(39995)</f>
        <v>39995</v>
      </c>
      <c r="F2346" s="5" t="s">
        <v>9</v>
      </c>
    </row>
    <row r="2347" spans="1:6" ht="58">
      <c r="A2347" s="1" t="s">
        <v>6891</v>
      </c>
      <c r="B2347" s="4" t="s">
        <v>6892</v>
      </c>
      <c r="C2347" s="3" t="s">
        <v>6893</v>
      </c>
      <c r="D2347" s="5" t="s">
        <v>8</v>
      </c>
      <c r="E2347" s="6">
        <f>VALUE(1695)</f>
        <v>1695</v>
      </c>
      <c r="F2347" s="5" t="s">
        <v>9</v>
      </c>
    </row>
    <row r="2348" spans="1:6" ht="43.5">
      <c r="A2348" s="1" t="s">
        <v>6894</v>
      </c>
      <c r="B2348" s="4" t="s">
        <v>6895</v>
      </c>
      <c r="C2348" s="3" t="s">
        <v>6894</v>
      </c>
      <c r="D2348" s="5" t="s">
        <v>8</v>
      </c>
      <c r="E2348" s="6">
        <f>VALUE(14995)</f>
        <v>14995</v>
      </c>
      <c r="F2348" s="5" t="s">
        <v>9</v>
      </c>
    </row>
    <row r="2349" spans="1:6" ht="58">
      <c r="A2349" s="1" t="s">
        <v>6896</v>
      </c>
      <c r="B2349" s="4" t="s">
        <v>6897</v>
      </c>
      <c r="C2349" s="3" t="s">
        <v>6898</v>
      </c>
      <c r="D2349" s="5" t="s">
        <v>8</v>
      </c>
      <c r="E2349" s="6">
        <f>VALUE(645)</f>
        <v>645</v>
      </c>
      <c r="F2349" s="5" t="s">
        <v>9</v>
      </c>
    </row>
    <row r="2350" spans="1:6" ht="43.5">
      <c r="A2350" s="1" t="s">
        <v>6899</v>
      </c>
      <c r="B2350" s="4" t="s">
        <v>6900</v>
      </c>
      <c r="C2350" s="3" t="s">
        <v>6899</v>
      </c>
      <c r="D2350" s="5" t="s">
        <v>8</v>
      </c>
      <c r="E2350" s="6">
        <f>VALUE(39995)</f>
        <v>39995</v>
      </c>
      <c r="F2350" s="5" t="s">
        <v>9</v>
      </c>
    </row>
    <row r="2351" spans="1:6" ht="58">
      <c r="A2351" s="1" t="s">
        <v>6901</v>
      </c>
      <c r="B2351" s="4" t="s">
        <v>6902</v>
      </c>
      <c r="C2351" s="3" t="s">
        <v>6903</v>
      </c>
      <c r="D2351" s="5" t="s">
        <v>8</v>
      </c>
      <c r="E2351" s="6">
        <f>VALUE(1695)</f>
        <v>1695</v>
      </c>
      <c r="F2351" s="5" t="s">
        <v>9</v>
      </c>
    </row>
    <row r="2352" spans="1:6" ht="43.5">
      <c r="A2352" s="1" t="s">
        <v>6904</v>
      </c>
      <c r="B2352" s="4" t="s">
        <v>6905</v>
      </c>
      <c r="C2352" s="3" t="s">
        <v>6906</v>
      </c>
      <c r="D2352" s="5" t="s">
        <v>8</v>
      </c>
      <c r="E2352" s="6">
        <f>VALUE(3115)</f>
        <v>3115</v>
      </c>
      <c r="F2352" s="5" t="s">
        <v>9</v>
      </c>
    </row>
    <row r="2353" spans="1:6" ht="29">
      <c r="A2353" s="1" t="s">
        <v>6907</v>
      </c>
      <c r="B2353" s="4" t="s">
        <v>6908</v>
      </c>
      <c r="C2353" s="3" t="s">
        <v>6907</v>
      </c>
      <c r="D2353" s="5" t="s">
        <v>8</v>
      </c>
      <c r="E2353" s="6">
        <f>VALUE(37395)</f>
        <v>37395</v>
      </c>
      <c r="F2353" s="5" t="s">
        <v>9</v>
      </c>
    </row>
    <row r="2354" spans="1:6" ht="29">
      <c r="A2354" s="1" t="s">
        <v>6909</v>
      </c>
      <c r="B2354" s="4" t="s">
        <v>6910</v>
      </c>
      <c r="C2354" s="3" t="s">
        <v>6911</v>
      </c>
      <c r="D2354" s="5" t="s">
        <v>8</v>
      </c>
      <c r="E2354" s="6">
        <f>VALUE(1595)</f>
        <v>1595</v>
      </c>
      <c r="F2354" s="5" t="s">
        <v>9</v>
      </c>
    </row>
    <row r="2355" spans="1:6" ht="43.5">
      <c r="A2355" s="1" t="s">
        <v>6912</v>
      </c>
      <c r="B2355" s="4" t="s">
        <v>6913</v>
      </c>
      <c r="C2355" s="3" t="s">
        <v>6914</v>
      </c>
      <c r="D2355" s="5" t="s">
        <v>8</v>
      </c>
      <c r="E2355" s="6">
        <f>VALUE(3085)</f>
        <v>3085</v>
      </c>
      <c r="F2355" s="5" t="s">
        <v>9</v>
      </c>
    </row>
    <row r="2356" spans="1:6" ht="29">
      <c r="A2356" s="1" t="s">
        <v>6915</v>
      </c>
      <c r="B2356" s="4" t="s">
        <v>6916</v>
      </c>
      <c r="C2356" s="3" t="s">
        <v>6915</v>
      </c>
      <c r="D2356" s="5" t="s">
        <v>8</v>
      </c>
      <c r="E2356" s="6">
        <f>VALUE(37395)</f>
        <v>37395</v>
      </c>
      <c r="F2356" s="5" t="s">
        <v>9</v>
      </c>
    </row>
    <row r="2357" spans="1:6" ht="29">
      <c r="A2357" s="1" t="s">
        <v>6917</v>
      </c>
      <c r="B2357" s="4" t="s">
        <v>6918</v>
      </c>
      <c r="C2357" s="3" t="s">
        <v>6919</v>
      </c>
      <c r="D2357" s="5" t="s">
        <v>8</v>
      </c>
      <c r="E2357" s="6">
        <f>VALUE(1595)</f>
        <v>1595</v>
      </c>
      <c r="F2357" s="5" t="s">
        <v>9</v>
      </c>
    </row>
    <row r="2358" spans="1:6" ht="43.5">
      <c r="A2358" s="1" t="s">
        <v>6920</v>
      </c>
      <c r="B2358" s="4" t="s">
        <v>6921</v>
      </c>
      <c r="C2358" s="3" t="s">
        <v>6922</v>
      </c>
      <c r="D2358" s="5" t="s">
        <v>8</v>
      </c>
      <c r="E2358" s="6">
        <f>VALUE(5375)</f>
        <v>5375</v>
      </c>
      <c r="F2358" s="5" t="s">
        <v>9</v>
      </c>
    </row>
    <row r="2359" spans="1:6" ht="29">
      <c r="A2359" s="1" t="s">
        <v>6923</v>
      </c>
      <c r="B2359" s="4" t="s">
        <v>6924</v>
      </c>
      <c r="C2359" s="3" t="s">
        <v>6923</v>
      </c>
      <c r="D2359" s="5" t="s">
        <v>8</v>
      </c>
      <c r="E2359" s="6">
        <f>VALUE(45485)</f>
        <v>45485</v>
      </c>
      <c r="F2359" s="5" t="s">
        <v>9</v>
      </c>
    </row>
    <row r="2360" spans="1:6" ht="29">
      <c r="A2360" s="1" t="s">
        <v>6925</v>
      </c>
      <c r="B2360" s="4" t="s">
        <v>6926</v>
      </c>
      <c r="C2360" s="3" t="s">
        <v>6927</v>
      </c>
      <c r="D2360" s="5" t="s">
        <v>8</v>
      </c>
      <c r="E2360" s="6">
        <f>VALUE(1935)</f>
        <v>1935</v>
      </c>
      <c r="F2360" s="5" t="s">
        <v>9</v>
      </c>
    </row>
    <row r="2361" spans="1:6" ht="43.5">
      <c r="A2361" s="1" t="s">
        <v>6928</v>
      </c>
      <c r="B2361" s="4" t="s">
        <v>6929</v>
      </c>
      <c r="C2361" s="3" t="s">
        <v>6930</v>
      </c>
      <c r="D2361" s="5" t="s">
        <v>8</v>
      </c>
      <c r="E2361" s="6">
        <f>VALUE(845)</f>
        <v>845</v>
      </c>
      <c r="F2361" s="5" t="s">
        <v>9</v>
      </c>
    </row>
    <row r="2362" spans="1:6" ht="29">
      <c r="A2362" s="1" t="s">
        <v>6931</v>
      </c>
      <c r="B2362" s="4" t="s">
        <v>6932</v>
      </c>
      <c r="C2362" s="3" t="s">
        <v>6931</v>
      </c>
      <c r="D2362" s="5" t="s">
        <v>8</v>
      </c>
      <c r="E2362" s="6">
        <f>VALUE(20305)</f>
        <v>20305</v>
      </c>
      <c r="F2362" s="5" t="s">
        <v>9</v>
      </c>
    </row>
    <row r="2363" spans="1:6" ht="29">
      <c r="A2363" s="1" t="s">
        <v>6933</v>
      </c>
      <c r="B2363" s="4" t="s">
        <v>6934</v>
      </c>
      <c r="C2363" s="3" t="s">
        <v>6935</v>
      </c>
      <c r="D2363" s="5" t="s">
        <v>8</v>
      </c>
      <c r="E2363" s="6">
        <f>VALUE(875)</f>
        <v>875</v>
      </c>
      <c r="F2363" s="5" t="s">
        <v>9</v>
      </c>
    </row>
    <row r="2364" spans="1:6" ht="43.5">
      <c r="A2364" s="1" t="s">
        <v>6936</v>
      </c>
      <c r="B2364" s="4" t="s">
        <v>6937</v>
      </c>
      <c r="C2364" s="3" t="s">
        <v>6938</v>
      </c>
      <c r="D2364" s="5" t="s">
        <v>8</v>
      </c>
      <c r="E2364" s="6">
        <f>VALUE(1355)</f>
        <v>1355</v>
      </c>
      <c r="F2364" s="5" t="s">
        <v>9</v>
      </c>
    </row>
    <row r="2365" spans="1:6" ht="43.5">
      <c r="A2365" s="1" t="s">
        <v>6939</v>
      </c>
      <c r="B2365" s="4" t="s">
        <v>6940</v>
      </c>
      <c r="C2365" s="3" t="s">
        <v>6941</v>
      </c>
      <c r="D2365" s="5" t="s">
        <v>8</v>
      </c>
      <c r="E2365" s="6">
        <f>VALUE(1355)</f>
        <v>1355</v>
      </c>
      <c r="F2365" s="5" t="s">
        <v>9</v>
      </c>
    </row>
    <row r="2366" spans="1:6" ht="43.5">
      <c r="A2366" s="1" t="s">
        <v>6942</v>
      </c>
      <c r="B2366" s="4" t="s">
        <v>6943</v>
      </c>
      <c r="C2366" s="3" t="s">
        <v>6944</v>
      </c>
      <c r="D2366" s="5" t="s">
        <v>8</v>
      </c>
      <c r="E2366" s="6">
        <f>VALUE(675)</f>
        <v>675</v>
      </c>
      <c r="F2366" s="5" t="s">
        <v>9</v>
      </c>
    </row>
    <row r="2367" spans="1:6" ht="58">
      <c r="A2367" s="1" t="s">
        <v>6945</v>
      </c>
      <c r="B2367" s="4" t="s">
        <v>6946</v>
      </c>
      <c r="C2367" s="3" t="s">
        <v>6947</v>
      </c>
      <c r="D2367" s="5" t="s">
        <v>8</v>
      </c>
      <c r="E2367" s="6">
        <f>VALUE(725)</f>
        <v>725</v>
      </c>
      <c r="F2367" s="5" t="s">
        <v>9</v>
      </c>
    </row>
    <row r="2368" spans="1:6" ht="58">
      <c r="A2368" s="1" t="s">
        <v>6948</v>
      </c>
      <c r="B2368" s="4" t="s">
        <v>6949</v>
      </c>
      <c r="C2368" s="3" t="s">
        <v>6950</v>
      </c>
      <c r="D2368" s="5" t="s">
        <v>8</v>
      </c>
      <c r="E2368" s="6">
        <f>VALUE(445)</f>
        <v>445</v>
      </c>
      <c r="F2368" s="5" t="s">
        <v>9</v>
      </c>
    </row>
    <row r="2369" spans="1:6" ht="58">
      <c r="A2369" s="1" t="s">
        <v>6951</v>
      </c>
      <c r="B2369" s="4" t="s">
        <v>6952</v>
      </c>
      <c r="C2369" s="3" t="s">
        <v>6953</v>
      </c>
      <c r="D2369" s="5" t="s">
        <v>8</v>
      </c>
      <c r="E2369" s="6">
        <f>VALUE(2095)</f>
        <v>2095</v>
      </c>
      <c r="F2369" s="5" t="s">
        <v>9</v>
      </c>
    </row>
    <row r="2370" spans="1:6" ht="58">
      <c r="A2370" s="1" t="s">
        <v>6954</v>
      </c>
      <c r="B2370" s="4" t="s">
        <v>6955</v>
      </c>
      <c r="C2370" s="3" t="s">
        <v>6956</v>
      </c>
      <c r="D2370" s="5" t="s">
        <v>8</v>
      </c>
      <c r="E2370" s="6">
        <f>VALUE(5195)</f>
        <v>5195</v>
      </c>
      <c r="F2370" s="5" t="s">
        <v>9</v>
      </c>
    </row>
    <row r="2371" spans="1:6" ht="72.5">
      <c r="A2371" s="1" t="s">
        <v>6957</v>
      </c>
      <c r="B2371" s="4" t="s">
        <v>6958</v>
      </c>
      <c r="C2371" s="3" t="s">
        <v>6959</v>
      </c>
      <c r="D2371" s="5" t="s">
        <v>8</v>
      </c>
      <c r="E2371" s="6">
        <f>VALUE(2995)</f>
        <v>2995</v>
      </c>
      <c r="F2371" s="5" t="s">
        <v>9</v>
      </c>
    </row>
    <row r="2372" spans="1:6" ht="58">
      <c r="A2372" s="1" t="s">
        <v>6960</v>
      </c>
      <c r="B2372" s="4" t="s">
        <v>6961</v>
      </c>
      <c r="C2372" s="3" t="s">
        <v>6962</v>
      </c>
      <c r="D2372" s="5" t="s">
        <v>8</v>
      </c>
      <c r="E2372" s="6">
        <f>VALUE(7295)</f>
        <v>7295</v>
      </c>
      <c r="F2372" s="5" t="s">
        <v>9</v>
      </c>
    </row>
    <row r="2373" spans="1:6" ht="72.5">
      <c r="A2373" s="1" t="s">
        <v>6963</v>
      </c>
      <c r="B2373" s="4" t="s">
        <v>6964</v>
      </c>
      <c r="C2373" s="3" t="s">
        <v>6965</v>
      </c>
      <c r="D2373" s="5" t="s">
        <v>8</v>
      </c>
      <c r="E2373" s="6">
        <f>VALUE(4895)</f>
        <v>4895</v>
      </c>
      <c r="F2373" s="5" t="s">
        <v>9</v>
      </c>
    </row>
    <row r="2374" spans="1:6" ht="43.5">
      <c r="A2374" s="1" t="s">
        <v>6966</v>
      </c>
      <c r="B2374" s="4" t="s">
        <v>6967</v>
      </c>
      <c r="C2374" s="3" t="s">
        <v>6968</v>
      </c>
      <c r="D2374" s="5" t="s">
        <v>8</v>
      </c>
      <c r="E2374" s="6">
        <f>VALUE(1650)</f>
        <v>1650</v>
      </c>
      <c r="F2374" s="5" t="s">
        <v>9</v>
      </c>
    </row>
    <row r="2375" spans="1:6" ht="43.5">
      <c r="A2375" s="1" t="s">
        <v>6969</v>
      </c>
      <c r="B2375" s="4" t="s">
        <v>6970</v>
      </c>
      <c r="C2375" s="3" t="s">
        <v>6971</v>
      </c>
      <c r="D2375" s="5" t="s">
        <v>8</v>
      </c>
      <c r="E2375" s="6">
        <f>VALUE(3100)</f>
        <v>3100</v>
      </c>
      <c r="F2375" s="5" t="s">
        <v>9</v>
      </c>
    </row>
    <row r="2376" spans="1:6" ht="43.5">
      <c r="A2376" s="1" t="s">
        <v>6972</v>
      </c>
      <c r="B2376" s="4" t="s">
        <v>6973</v>
      </c>
      <c r="C2376" s="3" t="s">
        <v>6974</v>
      </c>
      <c r="D2376" s="5" t="s">
        <v>8</v>
      </c>
      <c r="E2376" s="6">
        <f>VALUE(2550)</f>
        <v>2550</v>
      </c>
      <c r="F2376" s="5" t="s">
        <v>9</v>
      </c>
    </row>
    <row r="2377" spans="1:6" ht="43.5">
      <c r="A2377" s="1" t="s">
        <v>6975</v>
      </c>
      <c r="B2377" s="4" t="s">
        <v>6976</v>
      </c>
      <c r="C2377" s="3" t="s">
        <v>6977</v>
      </c>
      <c r="D2377" s="5" t="s">
        <v>8</v>
      </c>
      <c r="E2377" s="6">
        <f>VALUE(4300)</f>
        <v>4300</v>
      </c>
      <c r="F2377" s="5" t="s">
        <v>9</v>
      </c>
    </row>
    <row r="2378" spans="1:6" ht="43.5">
      <c r="A2378" s="1" t="s">
        <v>6978</v>
      </c>
      <c r="B2378" s="4" t="s">
        <v>6979</v>
      </c>
      <c r="C2378" s="3" t="s">
        <v>6980</v>
      </c>
      <c r="D2378" s="5" t="s">
        <v>8</v>
      </c>
      <c r="E2378" s="6">
        <f>VALUE(4450)</f>
        <v>4450</v>
      </c>
      <c r="F2378" s="5" t="s">
        <v>9</v>
      </c>
    </row>
    <row r="2379" spans="1:6" ht="29">
      <c r="A2379" s="1" t="s">
        <v>6981</v>
      </c>
      <c r="B2379" s="4" t="s">
        <v>6982</v>
      </c>
      <c r="C2379" s="3" t="s">
        <v>6983</v>
      </c>
      <c r="D2379" s="5" t="s">
        <v>8</v>
      </c>
      <c r="E2379" s="6">
        <f>VALUE(7295)</f>
        <v>7295</v>
      </c>
      <c r="F2379" s="5" t="s">
        <v>9</v>
      </c>
    </row>
    <row r="2380" spans="1:6" ht="29">
      <c r="A2380" s="1" t="s">
        <v>6984</v>
      </c>
      <c r="B2380" s="4" t="s">
        <v>6985</v>
      </c>
      <c r="C2380" s="3" t="s">
        <v>6984</v>
      </c>
      <c r="D2380" s="5" t="s">
        <v>8</v>
      </c>
      <c r="E2380" s="6">
        <f>VALUE(33245)</f>
        <v>33245</v>
      </c>
      <c r="F2380" s="5" t="s">
        <v>9</v>
      </c>
    </row>
    <row r="2381" spans="1:6" ht="29">
      <c r="A2381" s="1" t="s">
        <v>6986</v>
      </c>
      <c r="B2381" s="4" t="s">
        <v>6987</v>
      </c>
      <c r="C2381" s="3" t="s">
        <v>6986</v>
      </c>
      <c r="D2381" s="5" t="s">
        <v>8</v>
      </c>
      <c r="E2381" s="6">
        <f>VALUE(1355)</f>
        <v>1355</v>
      </c>
      <c r="F2381" s="5" t="s">
        <v>9</v>
      </c>
    </row>
    <row r="2382" spans="1:6" ht="43.5">
      <c r="A2382" s="1" t="s">
        <v>6988</v>
      </c>
      <c r="B2382" s="4" t="s">
        <v>6989</v>
      </c>
      <c r="C2382" s="3" t="s">
        <v>6990</v>
      </c>
      <c r="D2382" s="5" t="s">
        <v>8</v>
      </c>
      <c r="E2382" s="6">
        <f>VALUE(14315)</f>
        <v>14315</v>
      </c>
      <c r="F2382" s="5" t="s">
        <v>9</v>
      </c>
    </row>
    <row r="2383" spans="1:6" ht="29">
      <c r="A2383" s="1" t="s">
        <v>6991</v>
      </c>
      <c r="B2383" s="4" t="s">
        <v>6992</v>
      </c>
      <c r="C2383" s="3" t="s">
        <v>6991</v>
      </c>
      <c r="D2383" s="5" t="s">
        <v>8</v>
      </c>
      <c r="E2383" s="6">
        <f>VALUE(48285)</f>
        <v>48285</v>
      </c>
      <c r="F2383" s="5" t="s">
        <v>9</v>
      </c>
    </row>
    <row r="2384" spans="1:6" ht="29">
      <c r="A2384" s="1" t="s">
        <v>6993</v>
      </c>
      <c r="B2384" s="4" t="s">
        <v>6994</v>
      </c>
      <c r="C2384" s="3" t="s">
        <v>6995</v>
      </c>
      <c r="D2384" s="5" t="s">
        <v>8</v>
      </c>
      <c r="E2384" s="6">
        <f>VALUE(2035)</f>
        <v>2035</v>
      </c>
      <c r="F2384" s="5" t="s">
        <v>9</v>
      </c>
    </row>
    <row r="2385" spans="1:6" ht="43.5">
      <c r="A2385" s="1" t="s">
        <v>6996</v>
      </c>
      <c r="B2385" s="4" t="s">
        <v>6997</v>
      </c>
      <c r="C2385" s="3" t="s">
        <v>6998</v>
      </c>
      <c r="D2385" s="5" t="s">
        <v>8</v>
      </c>
      <c r="E2385" s="6">
        <f>VALUE(16315)</f>
        <v>16315</v>
      </c>
      <c r="F2385" s="5" t="s">
        <v>9</v>
      </c>
    </row>
    <row r="2386" spans="1:6" ht="29">
      <c r="A2386" s="1" t="s">
        <v>6999</v>
      </c>
      <c r="B2386" s="4" t="s">
        <v>7000</v>
      </c>
      <c r="C2386" s="3" t="s">
        <v>6999</v>
      </c>
      <c r="D2386" s="5" t="s">
        <v>8</v>
      </c>
      <c r="E2386" s="6">
        <f>VALUE(48285)</f>
        <v>48285</v>
      </c>
      <c r="F2386" s="5" t="s">
        <v>9</v>
      </c>
    </row>
    <row r="2387" spans="1:6" ht="29">
      <c r="A2387" s="1" t="s">
        <v>7001</v>
      </c>
      <c r="B2387" s="4" t="s">
        <v>7002</v>
      </c>
      <c r="C2387" s="3" t="s">
        <v>7003</v>
      </c>
      <c r="D2387" s="5" t="s">
        <v>8</v>
      </c>
      <c r="E2387" s="6">
        <f>VALUE(2035)</f>
        <v>2035</v>
      </c>
      <c r="F2387" s="5" t="s">
        <v>9</v>
      </c>
    </row>
    <row r="2388" spans="1:6" ht="43.5">
      <c r="A2388" s="1" t="s">
        <v>7004</v>
      </c>
      <c r="B2388" s="4" t="s">
        <v>7005</v>
      </c>
      <c r="C2388" s="3" t="s">
        <v>7006</v>
      </c>
      <c r="D2388" s="5" t="s">
        <v>8</v>
      </c>
      <c r="E2388" s="6">
        <f>VALUE(2335)</f>
        <v>2335</v>
      </c>
      <c r="F2388" s="5" t="s">
        <v>9</v>
      </c>
    </row>
    <row r="2389" spans="1:6" ht="29">
      <c r="A2389" s="1" t="s">
        <v>7007</v>
      </c>
      <c r="B2389" s="4" t="s">
        <v>7008</v>
      </c>
      <c r="C2389" s="3" t="s">
        <v>7007</v>
      </c>
      <c r="D2389" s="5" t="s">
        <v>8</v>
      </c>
      <c r="E2389" s="6">
        <f>VALUE(58055)</f>
        <v>58055</v>
      </c>
      <c r="F2389" s="5" t="s">
        <v>9</v>
      </c>
    </row>
    <row r="2390" spans="1:6" ht="29">
      <c r="A2390" s="1" t="s">
        <v>7009</v>
      </c>
      <c r="B2390" s="4" t="s">
        <v>7010</v>
      </c>
      <c r="C2390" s="3" t="s">
        <v>7011</v>
      </c>
      <c r="D2390" s="5" t="s">
        <v>8</v>
      </c>
      <c r="E2390" s="6">
        <f>VALUE(2455)</f>
        <v>2455</v>
      </c>
      <c r="F2390" s="5" t="s">
        <v>9</v>
      </c>
    </row>
    <row r="2391" spans="1:6" ht="29">
      <c r="A2391" s="1" t="s">
        <v>7012</v>
      </c>
      <c r="B2391" s="4" t="s">
        <v>7013</v>
      </c>
      <c r="C2391" s="3" t="s">
        <v>7014</v>
      </c>
      <c r="D2391" s="5" t="s">
        <v>8</v>
      </c>
      <c r="E2391" s="6">
        <f>VALUE(1575)</f>
        <v>1575</v>
      </c>
      <c r="F2391" s="5" t="s">
        <v>9</v>
      </c>
    </row>
    <row r="2392" spans="1:6" ht="29">
      <c r="A2392" s="1" t="s">
        <v>7015</v>
      </c>
      <c r="B2392" s="4" t="s">
        <v>7016</v>
      </c>
      <c r="C2392" s="3" t="s">
        <v>7015</v>
      </c>
      <c r="D2392" s="5" t="s">
        <v>8</v>
      </c>
      <c r="E2392" s="6">
        <f>VALUE(43550)</f>
        <v>43550</v>
      </c>
      <c r="F2392" s="5" t="s">
        <v>9</v>
      </c>
    </row>
    <row r="2393" spans="1:6" ht="29">
      <c r="A2393" s="1" t="s">
        <v>7017</v>
      </c>
      <c r="B2393" s="4" t="s">
        <v>7018</v>
      </c>
      <c r="C2393" s="3" t="s">
        <v>7019</v>
      </c>
      <c r="D2393" s="5" t="s">
        <v>8</v>
      </c>
      <c r="E2393" s="6">
        <f>VALUE(1855)</f>
        <v>1855</v>
      </c>
      <c r="F2393" s="5" t="s">
        <v>9</v>
      </c>
    </row>
    <row r="2394" spans="1:6" ht="43.5">
      <c r="A2394" s="1" t="s">
        <v>7020</v>
      </c>
      <c r="B2394" s="4" t="s">
        <v>7021</v>
      </c>
      <c r="C2394" s="3" t="s">
        <v>7022</v>
      </c>
      <c r="D2394" s="5" t="s">
        <v>8</v>
      </c>
      <c r="E2394" s="6">
        <f>VALUE(2875)</f>
        <v>2875</v>
      </c>
      <c r="F2394" s="5" t="s">
        <v>9</v>
      </c>
    </row>
    <row r="2395" spans="1:6" ht="29">
      <c r="A2395" s="1" t="s">
        <v>7023</v>
      </c>
      <c r="B2395" s="4" t="s">
        <v>7024</v>
      </c>
      <c r="C2395" s="3" t="s">
        <v>7023</v>
      </c>
      <c r="D2395" s="5" t="s">
        <v>8</v>
      </c>
      <c r="E2395" s="6">
        <f>VALUE(77605)</f>
        <v>77605</v>
      </c>
      <c r="F2395" s="5" t="s">
        <v>9</v>
      </c>
    </row>
    <row r="2396" spans="1:6" ht="29">
      <c r="A2396" s="1" t="s">
        <v>7025</v>
      </c>
      <c r="B2396" s="4" t="s">
        <v>7026</v>
      </c>
      <c r="C2396" s="3" t="s">
        <v>7027</v>
      </c>
      <c r="D2396" s="5" t="s">
        <v>8</v>
      </c>
      <c r="E2396" s="6">
        <f>VALUE(3285)</f>
        <v>3285</v>
      </c>
      <c r="F2396" s="5" t="s">
        <v>9</v>
      </c>
    </row>
    <row r="2397" spans="1:6" ht="43.5">
      <c r="A2397" s="1" t="s">
        <v>7028</v>
      </c>
      <c r="B2397" s="4" t="s">
        <v>7029</v>
      </c>
      <c r="C2397" s="3" t="s">
        <v>7030</v>
      </c>
      <c r="D2397" s="5" t="s">
        <v>8</v>
      </c>
      <c r="E2397" s="6">
        <f>VALUE(5375)</f>
        <v>5375</v>
      </c>
      <c r="F2397" s="5" t="s">
        <v>9</v>
      </c>
    </row>
    <row r="2398" spans="1:6" ht="29">
      <c r="A2398" s="1" t="s">
        <v>7031</v>
      </c>
      <c r="B2398" s="4" t="s">
        <v>7032</v>
      </c>
      <c r="C2398" s="3" t="s">
        <v>7031</v>
      </c>
      <c r="D2398" s="5" t="s">
        <v>8</v>
      </c>
      <c r="E2398" s="6">
        <f>VALUE(57150)</f>
        <v>57150</v>
      </c>
      <c r="F2398" s="5" t="s">
        <v>9</v>
      </c>
    </row>
    <row r="2399" spans="1:6" ht="29">
      <c r="A2399" s="1" t="s">
        <v>7033</v>
      </c>
      <c r="B2399" s="4" t="s">
        <v>7034</v>
      </c>
      <c r="C2399" s="3" t="s">
        <v>7035</v>
      </c>
      <c r="D2399" s="5" t="s">
        <v>8</v>
      </c>
      <c r="E2399" s="6">
        <f>VALUE(2425)</f>
        <v>2425</v>
      </c>
      <c r="F2399" s="5" t="s">
        <v>9</v>
      </c>
    </row>
    <row r="2400" spans="1:6" ht="43.5">
      <c r="A2400" s="1" t="s">
        <v>7036</v>
      </c>
      <c r="B2400" s="4" t="s">
        <v>7037</v>
      </c>
      <c r="C2400" s="3" t="s">
        <v>7038</v>
      </c>
      <c r="D2400" s="5" t="s">
        <v>8</v>
      </c>
      <c r="E2400" s="6">
        <f>VALUE(8975)</f>
        <v>8975</v>
      </c>
      <c r="F2400" s="5" t="s">
        <v>9</v>
      </c>
    </row>
    <row r="2401" spans="1:6" ht="29">
      <c r="A2401" s="1" t="s">
        <v>7039</v>
      </c>
      <c r="B2401" s="4" t="s">
        <v>7040</v>
      </c>
      <c r="C2401" s="3" t="s">
        <v>7039</v>
      </c>
      <c r="D2401" s="5" t="s">
        <v>8</v>
      </c>
      <c r="E2401" s="6">
        <f>VALUE(57150)</f>
        <v>57150</v>
      </c>
      <c r="F2401" s="5" t="s">
        <v>9</v>
      </c>
    </row>
    <row r="2402" spans="1:6" ht="29">
      <c r="A2402" s="1" t="s">
        <v>7041</v>
      </c>
      <c r="B2402" s="4" t="s">
        <v>7042</v>
      </c>
      <c r="C2402" s="3" t="s">
        <v>7043</v>
      </c>
      <c r="D2402" s="5" t="s">
        <v>8</v>
      </c>
      <c r="E2402" s="6">
        <f>VALUE(2425)</f>
        <v>2425</v>
      </c>
      <c r="F2402" s="5" t="s">
        <v>9</v>
      </c>
    </row>
    <row r="2403" spans="1:6" ht="43.5">
      <c r="A2403" s="1" t="s">
        <v>7044</v>
      </c>
      <c r="B2403" s="4" t="s">
        <v>7045</v>
      </c>
      <c r="C2403" s="3" t="s">
        <v>7046</v>
      </c>
      <c r="D2403" s="5" t="s">
        <v>8</v>
      </c>
      <c r="E2403" s="6">
        <f>VALUE(8975)</f>
        <v>8975</v>
      </c>
      <c r="F2403" s="5" t="s">
        <v>9</v>
      </c>
    </row>
    <row r="2404" spans="1:6" ht="29">
      <c r="A2404" s="1" t="s">
        <v>7047</v>
      </c>
      <c r="B2404" s="4" t="s">
        <v>7048</v>
      </c>
      <c r="C2404" s="3" t="s">
        <v>7047</v>
      </c>
      <c r="D2404" s="5" t="s">
        <v>8</v>
      </c>
      <c r="E2404" s="6">
        <f>VALUE(57150)</f>
        <v>57150</v>
      </c>
      <c r="F2404" s="5" t="s">
        <v>9</v>
      </c>
    </row>
    <row r="2405" spans="1:6" ht="29">
      <c r="A2405" s="1" t="s">
        <v>7049</v>
      </c>
      <c r="B2405" s="4" t="s">
        <v>7050</v>
      </c>
      <c r="C2405" s="3" t="s">
        <v>7051</v>
      </c>
      <c r="D2405" s="5" t="s">
        <v>8</v>
      </c>
      <c r="E2405" s="6">
        <f>VALUE(2425)</f>
        <v>2425</v>
      </c>
      <c r="F2405" s="5" t="s">
        <v>9</v>
      </c>
    </row>
    <row r="2406" spans="1:6" ht="58">
      <c r="A2406" s="1" t="s">
        <v>7052</v>
      </c>
      <c r="B2406" s="4" t="s">
        <v>7053</v>
      </c>
      <c r="C2406" s="3" t="s">
        <v>7054</v>
      </c>
      <c r="D2406" s="5" t="s">
        <v>8</v>
      </c>
      <c r="E2406" s="6">
        <f>VALUE(17995)</f>
        <v>17995</v>
      </c>
      <c r="F2406" s="5" t="s">
        <v>9</v>
      </c>
    </row>
    <row r="2407" spans="1:6" ht="58">
      <c r="A2407" s="1" t="s">
        <v>7055</v>
      </c>
      <c r="B2407" s="4" t="s">
        <v>7053</v>
      </c>
      <c r="C2407" s="3" t="s">
        <v>7056</v>
      </c>
      <c r="D2407" s="5" t="s">
        <v>8</v>
      </c>
      <c r="E2407" s="6">
        <f>VALUE(725)</f>
        <v>725</v>
      </c>
      <c r="F2407" s="5" t="s">
        <v>9</v>
      </c>
    </row>
    <row r="2408" spans="1:6" ht="58">
      <c r="A2408" s="1" t="s">
        <v>7057</v>
      </c>
      <c r="B2408" s="4" t="s">
        <v>7058</v>
      </c>
      <c r="C2408" s="3" t="s">
        <v>7059</v>
      </c>
      <c r="D2408" s="5" t="s">
        <v>8</v>
      </c>
      <c r="E2408" s="6">
        <f>VALUE(53475)</f>
        <v>53475</v>
      </c>
      <c r="F2408" s="5" t="s">
        <v>9</v>
      </c>
    </row>
    <row r="2409" spans="1:6" ht="58">
      <c r="A2409" s="1" t="s">
        <v>7060</v>
      </c>
      <c r="B2409" s="4" t="s">
        <v>7061</v>
      </c>
      <c r="C2409" s="3" t="s">
        <v>7062</v>
      </c>
      <c r="D2409" s="5" t="s">
        <v>8</v>
      </c>
      <c r="E2409" s="6">
        <f>VALUE(55605)</f>
        <v>55605</v>
      </c>
      <c r="F2409" s="5" t="s">
        <v>9</v>
      </c>
    </row>
    <row r="2410" spans="1:6" ht="58">
      <c r="A2410" s="1" t="s">
        <v>7063</v>
      </c>
      <c r="B2410" s="4" t="s">
        <v>7064</v>
      </c>
      <c r="C2410" s="3" t="s">
        <v>7065</v>
      </c>
      <c r="D2410" s="5" t="s">
        <v>8</v>
      </c>
      <c r="E2410" s="6">
        <f>VALUE(390580)</f>
        <v>390580</v>
      </c>
      <c r="F2410" s="5" t="s">
        <v>9</v>
      </c>
    </row>
    <row r="2411" spans="1:6" ht="58">
      <c r="A2411" s="1" t="s">
        <v>7066</v>
      </c>
      <c r="B2411" s="4" t="s">
        <v>7067</v>
      </c>
      <c r="C2411" s="3" t="s">
        <v>7068</v>
      </c>
      <c r="D2411" s="5" t="s">
        <v>8</v>
      </c>
      <c r="E2411" s="6">
        <f>VALUE(532995)</f>
        <v>532995</v>
      </c>
      <c r="F2411" s="5" t="s">
        <v>9</v>
      </c>
    </row>
    <row r="2412" spans="1:6" ht="58">
      <c r="A2412" s="1" t="s">
        <v>7069</v>
      </c>
      <c r="B2412" s="4" t="s">
        <v>7070</v>
      </c>
      <c r="C2412" s="3" t="s">
        <v>7071</v>
      </c>
      <c r="D2412" s="5" t="s">
        <v>8</v>
      </c>
      <c r="E2412" s="6">
        <f>VALUE(632995)</f>
        <v>632995</v>
      </c>
      <c r="F2412" s="5" t="s">
        <v>9</v>
      </c>
    </row>
    <row r="2413" spans="1:6" ht="58">
      <c r="A2413" s="1" t="s">
        <v>7072</v>
      </c>
      <c r="B2413" s="4" t="s">
        <v>7073</v>
      </c>
      <c r="C2413" s="3" t="s">
        <v>7072</v>
      </c>
      <c r="D2413" s="5" t="s">
        <v>8</v>
      </c>
      <c r="E2413" s="6">
        <f>VALUE(59995)</f>
        <v>59995</v>
      </c>
      <c r="F2413" s="5" t="s">
        <v>9</v>
      </c>
    </row>
    <row r="2414" spans="1:6" ht="58">
      <c r="A2414" s="1" t="s">
        <v>7074</v>
      </c>
      <c r="B2414" s="4" t="s">
        <v>7075</v>
      </c>
      <c r="C2414" s="3" t="s">
        <v>7076</v>
      </c>
      <c r="D2414" s="5" t="s">
        <v>8</v>
      </c>
      <c r="E2414" s="6">
        <f>VALUE(2535)</f>
        <v>2535</v>
      </c>
      <c r="F2414" s="5" t="s">
        <v>9</v>
      </c>
    </row>
    <row r="2415" spans="1:6" ht="58">
      <c r="A2415" s="1" t="s">
        <v>7077</v>
      </c>
      <c r="B2415" s="4" t="s">
        <v>7078</v>
      </c>
      <c r="C2415" s="3" t="s">
        <v>7079</v>
      </c>
      <c r="D2415" s="5" t="s">
        <v>8</v>
      </c>
      <c r="E2415" s="6">
        <f>VALUE(9735)</f>
        <v>9735</v>
      </c>
      <c r="F2415" s="5" t="s">
        <v>9</v>
      </c>
    </row>
    <row r="2416" spans="1:6" ht="29">
      <c r="A2416" s="1" t="s">
        <v>7080</v>
      </c>
      <c r="B2416" s="4" t="s">
        <v>7081</v>
      </c>
      <c r="C2416" s="3" t="s">
        <v>7080</v>
      </c>
      <c r="D2416" s="5" t="s">
        <v>8</v>
      </c>
      <c r="E2416" s="6">
        <f>VALUE(52095)</f>
        <v>52095</v>
      </c>
      <c r="F2416" s="5" t="s">
        <v>9</v>
      </c>
    </row>
    <row r="2417" spans="1:6" ht="29">
      <c r="A2417" s="1" t="s">
        <v>7082</v>
      </c>
      <c r="B2417" s="4" t="s">
        <v>7083</v>
      </c>
      <c r="C2417" s="3" t="s">
        <v>7084</v>
      </c>
      <c r="D2417" s="5" t="s">
        <v>8</v>
      </c>
      <c r="E2417" s="6">
        <f>VALUE(2205)</f>
        <v>2205</v>
      </c>
      <c r="F2417" s="5" t="s">
        <v>9</v>
      </c>
    </row>
    <row r="2418" spans="1:6" ht="43.5">
      <c r="A2418" s="1" t="s">
        <v>7085</v>
      </c>
      <c r="B2418" s="4" t="s">
        <v>7086</v>
      </c>
      <c r="C2418" s="3" t="s">
        <v>7085</v>
      </c>
      <c r="D2418" s="5" t="s">
        <v>8</v>
      </c>
      <c r="E2418" s="6">
        <f>VALUE(29995)</f>
        <v>29995</v>
      </c>
      <c r="F2418" s="5" t="s">
        <v>9</v>
      </c>
    </row>
    <row r="2419" spans="1:6" ht="58">
      <c r="A2419" s="1" t="s">
        <v>7087</v>
      </c>
      <c r="B2419" s="4" t="s">
        <v>7088</v>
      </c>
      <c r="C2419" s="3" t="s">
        <v>7089</v>
      </c>
      <c r="D2419" s="5" t="s">
        <v>8</v>
      </c>
      <c r="E2419" s="6">
        <f>VALUE(1275)</f>
        <v>1275</v>
      </c>
      <c r="F2419" s="5" t="s">
        <v>9</v>
      </c>
    </row>
    <row r="2420" spans="1:6" ht="43.5">
      <c r="A2420" s="1" t="s">
        <v>7090</v>
      </c>
      <c r="B2420" s="4" t="s">
        <v>7091</v>
      </c>
      <c r="C2420" s="3" t="s">
        <v>7090</v>
      </c>
      <c r="D2420" s="5" t="s">
        <v>8</v>
      </c>
      <c r="E2420" s="6">
        <f>VALUE(11995)</f>
        <v>11995</v>
      </c>
      <c r="F2420" s="5" t="s">
        <v>9</v>
      </c>
    </row>
    <row r="2421" spans="1:6" ht="58">
      <c r="A2421" s="1" t="s">
        <v>7092</v>
      </c>
      <c r="B2421" s="4" t="s">
        <v>7093</v>
      </c>
      <c r="C2421" s="3" t="s">
        <v>7094</v>
      </c>
      <c r="D2421" s="5" t="s">
        <v>8</v>
      </c>
      <c r="E2421" s="6">
        <f>VALUE(515)</f>
        <v>515</v>
      </c>
      <c r="F2421" s="5" t="s">
        <v>9</v>
      </c>
    </row>
    <row r="2422" spans="1:6" ht="43.5">
      <c r="A2422" s="1" t="s">
        <v>7095</v>
      </c>
      <c r="B2422" s="4" t="s">
        <v>7096</v>
      </c>
      <c r="C2422" s="3" t="s">
        <v>7095</v>
      </c>
      <c r="D2422" s="5" t="s">
        <v>8</v>
      </c>
      <c r="E2422" s="6">
        <f>VALUE(9995)</f>
        <v>9995</v>
      </c>
      <c r="F2422" s="5" t="s">
        <v>9</v>
      </c>
    </row>
    <row r="2423" spans="1:6" ht="58">
      <c r="A2423" s="1" t="s">
        <v>7097</v>
      </c>
      <c r="B2423" s="4" t="s">
        <v>7098</v>
      </c>
      <c r="C2423" s="3" t="s">
        <v>7099</v>
      </c>
      <c r="D2423" s="5" t="s">
        <v>8</v>
      </c>
      <c r="E2423" s="6">
        <f>VALUE(435)</f>
        <v>435</v>
      </c>
      <c r="F2423" s="5" t="s">
        <v>9</v>
      </c>
    </row>
    <row r="2424" spans="1:6" ht="43.5">
      <c r="A2424" s="1" t="s">
        <v>7100</v>
      </c>
      <c r="B2424" s="4" t="s">
        <v>7101</v>
      </c>
      <c r="C2424" s="3" t="s">
        <v>7100</v>
      </c>
      <c r="D2424" s="5" t="s">
        <v>8</v>
      </c>
      <c r="E2424" s="6">
        <f>VALUE(39995)</f>
        <v>39995</v>
      </c>
      <c r="F2424" s="5" t="s">
        <v>9</v>
      </c>
    </row>
    <row r="2425" spans="1:6" ht="58">
      <c r="A2425" s="1" t="s">
        <v>7102</v>
      </c>
      <c r="B2425" s="4" t="s">
        <v>7103</v>
      </c>
      <c r="C2425" s="3" t="s">
        <v>7104</v>
      </c>
      <c r="D2425" s="5" t="s">
        <v>8</v>
      </c>
      <c r="E2425" s="6">
        <f>VALUE(1695)</f>
        <v>1695</v>
      </c>
      <c r="F2425" s="5" t="s">
        <v>9</v>
      </c>
    </row>
    <row r="2426" spans="1:6" ht="43.5">
      <c r="A2426" s="1" t="s">
        <v>7105</v>
      </c>
      <c r="B2426" s="4" t="s">
        <v>7106</v>
      </c>
      <c r="C2426" s="3" t="s">
        <v>7105</v>
      </c>
      <c r="D2426" s="5" t="s">
        <v>8</v>
      </c>
      <c r="E2426" s="6">
        <f>VALUE(29995)</f>
        <v>29995</v>
      </c>
      <c r="F2426" s="5" t="s">
        <v>9</v>
      </c>
    </row>
    <row r="2427" spans="1:6" ht="58">
      <c r="A2427" s="1" t="s">
        <v>7107</v>
      </c>
      <c r="B2427" s="4" t="s">
        <v>7108</v>
      </c>
      <c r="C2427" s="3" t="s">
        <v>7109</v>
      </c>
      <c r="D2427" s="5" t="s">
        <v>8</v>
      </c>
      <c r="E2427" s="6">
        <f>VALUE(1275)</f>
        <v>1275</v>
      </c>
      <c r="F2427" s="5" t="s">
        <v>9</v>
      </c>
    </row>
    <row r="2428" spans="1:6" ht="58">
      <c r="A2428" s="1" t="s">
        <v>7110</v>
      </c>
      <c r="B2428" s="4" t="s">
        <v>7111</v>
      </c>
      <c r="C2428" s="3" t="s">
        <v>7110</v>
      </c>
      <c r="D2428" s="5" t="s">
        <v>8</v>
      </c>
      <c r="E2428" s="6">
        <f>VALUE(19995)</f>
        <v>19995</v>
      </c>
      <c r="F2428" s="5" t="s">
        <v>9</v>
      </c>
    </row>
    <row r="2429" spans="1:6" ht="58">
      <c r="A2429" s="1" t="s">
        <v>7112</v>
      </c>
      <c r="B2429" s="4" t="s">
        <v>7113</v>
      </c>
      <c r="C2429" s="3" t="s">
        <v>7112</v>
      </c>
      <c r="D2429" s="5" t="s">
        <v>8</v>
      </c>
      <c r="E2429" s="6">
        <f>VALUE(815)</f>
        <v>815</v>
      </c>
      <c r="F2429" s="5" t="s">
        <v>9</v>
      </c>
    </row>
    <row r="2430" spans="1:6" ht="43.5">
      <c r="A2430" s="1" t="s">
        <v>7114</v>
      </c>
      <c r="B2430" s="4" t="s">
        <v>7115</v>
      </c>
      <c r="C2430" s="3" t="s">
        <v>7114</v>
      </c>
      <c r="D2430" s="5" t="s">
        <v>8</v>
      </c>
      <c r="E2430" s="6">
        <f>VALUE(29995)</f>
        <v>29995</v>
      </c>
      <c r="F2430" s="5" t="s">
        <v>9</v>
      </c>
    </row>
    <row r="2431" spans="1:6" ht="58">
      <c r="A2431" s="1" t="s">
        <v>7116</v>
      </c>
      <c r="B2431" s="4" t="s">
        <v>7117</v>
      </c>
      <c r="C2431" s="3" t="s">
        <v>7118</v>
      </c>
      <c r="D2431" s="5" t="s">
        <v>8</v>
      </c>
      <c r="E2431" s="6">
        <f>VALUE(1275)</f>
        <v>1275</v>
      </c>
      <c r="F2431" s="5" t="s">
        <v>9</v>
      </c>
    </row>
    <row r="2432" spans="1:6" ht="43.5">
      <c r="A2432" s="1" t="s">
        <v>7119</v>
      </c>
      <c r="B2432" s="4" t="s">
        <v>7120</v>
      </c>
      <c r="C2432" s="3" t="s">
        <v>7119</v>
      </c>
      <c r="D2432" s="5" t="s">
        <v>8</v>
      </c>
      <c r="E2432" s="6">
        <f>VALUE(35995)</f>
        <v>35995</v>
      </c>
      <c r="F2432" s="5" t="s">
        <v>9</v>
      </c>
    </row>
    <row r="2433" spans="1:6" ht="58">
      <c r="A2433" s="1" t="s">
        <v>7121</v>
      </c>
      <c r="B2433" s="4" t="s">
        <v>7122</v>
      </c>
      <c r="C2433" s="3" t="s">
        <v>7123</v>
      </c>
      <c r="D2433" s="5" t="s">
        <v>8</v>
      </c>
      <c r="E2433" s="6">
        <f>VALUE(1525)</f>
        <v>1525</v>
      </c>
      <c r="F2433" s="5" t="s">
        <v>9</v>
      </c>
    </row>
    <row r="2434" spans="1:6" ht="58">
      <c r="A2434" s="1" t="s">
        <v>7124</v>
      </c>
      <c r="B2434" s="4" t="s">
        <v>7125</v>
      </c>
      <c r="C2434" s="3" t="s">
        <v>7124</v>
      </c>
      <c r="D2434" s="5" t="s">
        <v>8</v>
      </c>
      <c r="E2434" s="6">
        <f>VALUE(44995)</f>
        <v>44995</v>
      </c>
      <c r="F2434" s="5" t="s">
        <v>9</v>
      </c>
    </row>
    <row r="2435" spans="1:6" ht="58">
      <c r="A2435" s="1" t="s">
        <v>7126</v>
      </c>
      <c r="B2435" s="4" t="s">
        <v>7127</v>
      </c>
      <c r="C2435" s="3" t="s">
        <v>7128</v>
      </c>
      <c r="D2435" s="5" t="s">
        <v>8</v>
      </c>
      <c r="E2435" s="6">
        <f>VALUE(1915)</f>
        <v>1915</v>
      </c>
      <c r="F2435" s="5" t="s">
        <v>9</v>
      </c>
    </row>
    <row r="2436" spans="1:6" ht="58">
      <c r="A2436" s="1" t="s">
        <v>7129</v>
      </c>
      <c r="B2436" s="4" t="s">
        <v>7130</v>
      </c>
      <c r="C2436" s="3" t="s">
        <v>7129</v>
      </c>
      <c r="D2436" s="5" t="s">
        <v>8</v>
      </c>
      <c r="E2436" s="6">
        <f>VALUE(79995)</f>
        <v>79995</v>
      </c>
      <c r="F2436" s="5" t="s">
        <v>9</v>
      </c>
    </row>
    <row r="2437" spans="1:6" ht="58">
      <c r="A2437" s="1" t="s">
        <v>7131</v>
      </c>
      <c r="B2437" s="4" t="s">
        <v>7132</v>
      </c>
      <c r="C2437" s="3" t="s">
        <v>7133</v>
      </c>
      <c r="D2437" s="5" t="s">
        <v>8</v>
      </c>
      <c r="E2437" s="6">
        <f>VALUE(3375)</f>
        <v>3375</v>
      </c>
      <c r="F2437" s="5" t="s">
        <v>9</v>
      </c>
    </row>
    <row r="2438" spans="1:6" ht="43.5">
      <c r="A2438" s="1" t="s">
        <v>7134</v>
      </c>
      <c r="B2438" s="4" t="s">
        <v>7135</v>
      </c>
      <c r="C2438" s="3" t="s">
        <v>7134</v>
      </c>
      <c r="D2438" s="5" t="s">
        <v>8</v>
      </c>
      <c r="E2438" s="6">
        <f>VALUE(79995)</f>
        <v>79995</v>
      </c>
      <c r="F2438" s="5" t="s">
        <v>9</v>
      </c>
    </row>
    <row r="2439" spans="1:6" ht="58">
      <c r="A2439" s="1" t="s">
        <v>7136</v>
      </c>
      <c r="B2439" s="4" t="s">
        <v>7137</v>
      </c>
      <c r="C2439" s="3" t="s">
        <v>7138</v>
      </c>
      <c r="D2439" s="5" t="s">
        <v>8</v>
      </c>
      <c r="E2439" s="6">
        <f>VALUE(3375)</f>
        <v>3375</v>
      </c>
      <c r="F2439" s="5" t="s">
        <v>9</v>
      </c>
    </row>
    <row r="2440" spans="1:6" ht="43.5">
      <c r="A2440" s="1" t="s">
        <v>7139</v>
      </c>
      <c r="B2440" s="4" t="s">
        <v>7140</v>
      </c>
      <c r="C2440" s="3" t="s">
        <v>7141</v>
      </c>
      <c r="D2440" s="5" t="s">
        <v>8</v>
      </c>
      <c r="E2440" s="6">
        <f>VALUE(3115)</f>
        <v>3115</v>
      </c>
      <c r="F2440" s="5" t="s">
        <v>9</v>
      </c>
    </row>
    <row r="2441" spans="1:6" ht="43.5">
      <c r="A2441" s="1" t="s">
        <v>7142</v>
      </c>
      <c r="B2441" s="4" t="s">
        <v>7143</v>
      </c>
      <c r="C2441" s="3" t="s">
        <v>7144</v>
      </c>
      <c r="D2441" s="5" t="s">
        <v>8</v>
      </c>
      <c r="E2441" s="6">
        <f>VALUE(3115)</f>
        <v>3115</v>
      </c>
      <c r="F2441" s="5" t="s">
        <v>9</v>
      </c>
    </row>
    <row r="2442" spans="1:6" ht="43.5">
      <c r="A2442" s="1" t="s">
        <v>7145</v>
      </c>
      <c r="B2442" s="4" t="s">
        <v>7146</v>
      </c>
      <c r="C2442" s="3" t="s">
        <v>7147</v>
      </c>
      <c r="D2442" s="5" t="s">
        <v>8</v>
      </c>
      <c r="E2442" s="6">
        <f>VALUE(1295)</f>
        <v>1295</v>
      </c>
      <c r="F2442" s="5" t="s">
        <v>9</v>
      </c>
    </row>
    <row r="2443" spans="1:6" ht="43.5">
      <c r="A2443" s="1" t="s">
        <v>7148</v>
      </c>
      <c r="B2443" s="4" t="s">
        <v>7149</v>
      </c>
      <c r="C2443" s="3" t="s">
        <v>7150</v>
      </c>
      <c r="D2443" s="5" t="s">
        <v>8</v>
      </c>
      <c r="E2443" s="6">
        <f>VALUE(1355)</f>
        <v>1355</v>
      </c>
      <c r="F2443" s="5" t="s">
        <v>9</v>
      </c>
    </row>
    <row r="2444" spans="1:6" ht="58">
      <c r="A2444" s="1" t="s">
        <v>7151</v>
      </c>
      <c r="B2444" s="4" t="s">
        <v>7152</v>
      </c>
      <c r="C2444" s="3" t="s">
        <v>7153</v>
      </c>
      <c r="D2444" s="5" t="s">
        <v>8</v>
      </c>
      <c r="E2444" s="6">
        <f>VALUE(895)</f>
        <v>895</v>
      </c>
      <c r="F2444" s="5" t="s">
        <v>9</v>
      </c>
    </row>
    <row r="2445" spans="1:6" ht="58">
      <c r="A2445" s="1" t="s">
        <v>7154</v>
      </c>
      <c r="B2445" s="4" t="s">
        <v>7155</v>
      </c>
      <c r="C2445" s="3" t="s">
        <v>7156</v>
      </c>
      <c r="D2445" s="5" t="s">
        <v>8</v>
      </c>
      <c r="E2445" s="6">
        <f>VALUE(3145)</f>
        <v>3145</v>
      </c>
      <c r="F2445" s="5" t="s">
        <v>9</v>
      </c>
    </row>
    <row r="2446" spans="1:6" ht="58">
      <c r="A2446" s="1" t="s">
        <v>7157</v>
      </c>
      <c r="B2446" s="4" t="s">
        <v>7158</v>
      </c>
      <c r="C2446" s="3" t="s">
        <v>7159</v>
      </c>
      <c r="D2446" s="5" t="s">
        <v>8</v>
      </c>
      <c r="E2446" s="6">
        <f>VALUE(8995)</f>
        <v>8995</v>
      </c>
      <c r="F2446" s="5" t="s">
        <v>9</v>
      </c>
    </row>
    <row r="2447" spans="1:6" ht="58">
      <c r="A2447" s="1" t="s">
        <v>7160</v>
      </c>
      <c r="B2447" s="4" t="s">
        <v>7161</v>
      </c>
      <c r="C2447" s="3" t="s">
        <v>7162</v>
      </c>
      <c r="D2447" s="5" t="s">
        <v>8</v>
      </c>
      <c r="E2447" s="6">
        <f>VALUE(4295)</f>
        <v>4295</v>
      </c>
      <c r="F2447" s="5" t="s">
        <v>9</v>
      </c>
    </row>
    <row r="2448" spans="1:6" ht="58">
      <c r="A2448" s="1" t="s">
        <v>7163</v>
      </c>
      <c r="B2448" s="4" t="s">
        <v>7164</v>
      </c>
      <c r="C2448" s="3" t="s">
        <v>7165</v>
      </c>
      <c r="D2448" s="5" t="s">
        <v>8</v>
      </c>
      <c r="E2448" s="6">
        <f>VALUE(11995)</f>
        <v>11995</v>
      </c>
      <c r="F2448" s="5" t="s">
        <v>9</v>
      </c>
    </row>
    <row r="2449" spans="1:6" ht="58">
      <c r="A2449" s="1" t="s">
        <v>7166</v>
      </c>
      <c r="B2449" s="4" t="s">
        <v>7167</v>
      </c>
      <c r="C2449" s="3" t="s">
        <v>7168</v>
      </c>
      <c r="D2449" s="5" t="s">
        <v>8</v>
      </c>
      <c r="E2449" s="6">
        <f>VALUE(7395)</f>
        <v>7395</v>
      </c>
      <c r="F2449" s="5" t="s">
        <v>9</v>
      </c>
    </row>
    <row r="2450" spans="1:6" ht="43.5">
      <c r="A2450" s="1" t="s">
        <v>7169</v>
      </c>
      <c r="B2450" s="4" t="s">
        <v>7170</v>
      </c>
      <c r="C2450" s="3" t="s">
        <v>7171</v>
      </c>
      <c r="D2450" s="5" t="s">
        <v>8</v>
      </c>
      <c r="E2450" s="6">
        <f>VALUE(2250)</f>
        <v>2250</v>
      </c>
      <c r="F2450" s="5" t="s">
        <v>9</v>
      </c>
    </row>
    <row r="2451" spans="1:6" ht="43.5">
      <c r="A2451" s="1" t="s">
        <v>7172</v>
      </c>
      <c r="B2451" s="4" t="s">
        <v>7173</v>
      </c>
      <c r="C2451" s="3" t="s">
        <v>7174</v>
      </c>
      <c r="D2451" s="5" t="s">
        <v>8</v>
      </c>
      <c r="E2451" s="6">
        <f>VALUE(5850)</f>
        <v>5850</v>
      </c>
      <c r="F2451" s="5" t="s">
        <v>9</v>
      </c>
    </row>
    <row r="2452" spans="1:6" ht="43.5">
      <c r="A2452" s="1" t="s">
        <v>7175</v>
      </c>
      <c r="B2452" s="4" t="s">
        <v>7176</v>
      </c>
      <c r="C2452" s="3" t="s">
        <v>7177</v>
      </c>
      <c r="D2452" s="5" t="s">
        <v>8</v>
      </c>
      <c r="E2452" s="6">
        <f>VALUE(3400)</f>
        <v>3400</v>
      </c>
      <c r="F2452" s="5" t="s">
        <v>9</v>
      </c>
    </row>
    <row r="2453" spans="1:6" ht="43.5">
      <c r="A2453" s="1" t="s">
        <v>7178</v>
      </c>
      <c r="B2453" s="4" t="s">
        <v>7179</v>
      </c>
      <c r="C2453" s="3" t="s">
        <v>7180</v>
      </c>
      <c r="D2453" s="5" t="s">
        <v>8</v>
      </c>
      <c r="E2453" s="6">
        <f>VALUE(7700)</f>
        <v>7700</v>
      </c>
      <c r="F2453" s="5" t="s">
        <v>9</v>
      </c>
    </row>
    <row r="2454" spans="1:6" ht="43.5">
      <c r="A2454" s="1" t="s">
        <v>7181</v>
      </c>
      <c r="B2454" s="4" t="s">
        <v>7182</v>
      </c>
      <c r="C2454" s="3" t="s">
        <v>7183</v>
      </c>
      <c r="D2454" s="5" t="s">
        <v>8</v>
      </c>
      <c r="E2454" s="6">
        <f>VALUE(6500)</f>
        <v>6500</v>
      </c>
      <c r="F2454" s="5" t="s">
        <v>9</v>
      </c>
    </row>
    <row r="2455" spans="1:6" ht="29">
      <c r="A2455" s="1" t="s">
        <v>7184</v>
      </c>
      <c r="B2455" s="4" t="s">
        <v>7185</v>
      </c>
      <c r="C2455" s="3" t="s">
        <v>7186</v>
      </c>
      <c r="D2455" s="5" t="s">
        <v>8</v>
      </c>
      <c r="E2455" s="6">
        <f>VALUE(1495)</f>
        <v>1495</v>
      </c>
      <c r="F2455" s="5" t="s">
        <v>9</v>
      </c>
    </row>
    <row r="2456" spans="1:6" ht="29">
      <c r="A2456" s="1" t="s">
        <v>7187</v>
      </c>
      <c r="B2456" s="4" t="s">
        <v>7188</v>
      </c>
      <c r="C2456" s="3" t="s">
        <v>7189</v>
      </c>
      <c r="D2456" s="5" t="s">
        <v>8</v>
      </c>
      <c r="E2456" s="6">
        <f>VALUE(1495)</f>
        <v>1495</v>
      </c>
      <c r="F2456" s="5" t="s">
        <v>9</v>
      </c>
    </row>
    <row r="2457" spans="1:6" ht="29">
      <c r="A2457" s="1" t="s">
        <v>7190</v>
      </c>
      <c r="B2457" s="4" t="s">
        <v>7191</v>
      </c>
      <c r="C2457" s="3" t="s">
        <v>7192</v>
      </c>
      <c r="D2457" s="5" t="s">
        <v>8</v>
      </c>
      <c r="E2457" s="6">
        <f>VALUE(1695)</f>
        <v>1695</v>
      </c>
      <c r="F2457" s="5" t="s">
        <v>9</v>
      </c>
    </row>
    <row r="2458" spans="1:6" ht="43.5">
      <c r="A2458" s="1" t="s">
        <v>7193</v>
      </c>
      <c r="B2458" s="4" t="s">
        <v>7194</v>
      </c>
      <c r="C2458" s="3" t="s">
        <v>7195</v>
      </c>
      <c r="D2458" s="5" t="s">
        <v>8</v>
      </c>
      <c r="E2458" s="6">
        <f>VALUE(6495)</f>
        <v>6495</v>
      </c>
      <c r="F2458" s="5" t="s">
        <v>9</v>
      </c>
    </row>
    <row r="2459" spans="1:6">
      <c r="A2459" s="1" t="s">
        <v>7196</v>
      </c>
      <c r="B2459" s="4" t="s">
        <v>7197</v>
      </c>
      <c r="C2459" s="3" t="s">
        <v>7198</v>
      </c>
      <c r="D2459" s="5" t="s">
        <v>8</v>
      </c>
      <c r="E2459" s="6">
        <f>VALUE(2195)</f>
        <v>2195</v>
      </c>
      <c r="F2459" s="5" t="s">
        <v>9</v>
      </c>
    </row>
    <row r="2460" spans="1:6" ht="29">
      <c r="A2460" s="1" t="s">
        <v>7199</v>
      </c>
      <c r="B2460" s="4" t="s">
        <v>7200</v>
      </c>
      <c r="C2460" s="3" t="s">
        <v>7201</v>
      </c>
      <c r="D2460" s="5" t="s">
        <v>8</v>
      </c>
      <c r="E2460" s="6">
        <f>VALUE(2195)</f>
        <v>2195</v>
      </c>
      <c r="F2460" s="5" t="s">
        <v>9</v>
      </c>
    </row>
    <row r="2461" spans="1:6">
      <c r="A2461" s="1" t="s">
        <v>7202</v>
      </c>
      <c r="B2461" s="4" t="s">
        <v>7203</v>
      </c>
      <c r="C2461" s="3" t="s">
        <v>7204</v>
      </c>
      <c r="D2461" s="5" t="s">
        <v>8</v>
      </c>
      <c r="E2461" s="6">
        <f>VALUE(2395)</f>
        <v>2395</v>
      </c>
      <c r="F2461" s="5" t="s">
        <v>9</v>
      </c>
    </row>
    <row r="2462" spans="1:6" ht="43.5">
      <c r="A2462" s="1" t="s">
        <v>7205</v>
      </c>
      <c r="B2462" s="4" t="s">
        <v>7206</v>
      </c>
      <c r="C2462" s="3" t="s">
        <v>7207</v>
      </c>
      <c r="D2462" s="5" t="s">
        <v>8</v>
      </c>
      <c r="E2462" s="6">
        <f>VALUE(14995)</f>
        <v>14995</v>
      </c>
      <c r="F2462" s="5" t="s">
        <v>9</v>
      </c>
    </row>
    <row r="2463" spans="1:6" ht="43.5">
      <c r="A2463" s="1" t="s">
        <v>7208</v>
      </c>
      <c r="B2463" s="4" t="s">
        <v>7209</v>
      </c>
      <c r="C2463" s="3" t="s">
        <v>7210</v>
      </c>
      <c r="D2463" s="5" t="s">
        <v>8</v>
      </c>
      <c r="E2463" s="6">
        <f>VALUE(9495)</f>
        <v>9495</v>
      </c>
      <c r="F2463" s="5" t="s">
        <v>9</v>
      </c>
    </row>
    <row r="2464" spans="1:6" ht="43.5">
      <c r="A2464" s="1" t="s">
        <v>7211</v>
      </c>
      <c r="B2464" s="4" t="s">
        <v>7212</v>
      </c>
      <c r="C2464" s="3" t="s">
        <v>7213</v>
      </c>
      <c r="D2464" s="5" t="s">
        <v>8</v>
      </c>
      <c r="E2464" s="6">
        <f>VALUE(9495)</f>
        <v>9495</v>
      </c>
      <c r="F2464" s="5" t="s">
        <v>9</v>
      </c>
    </row>
    <row r="2465" spans="1:6" ht="29">
      <c r="A2465" s="1" t="s">
        <v>7214</v>
      </c>
      <c r="B2465" s="4" t="s">
        <v>7215</v>
      </c>
      <c r="C2465" s="3" t="s">
        <v>7216</v>
      </c>
      <c r="D2465" s="5" t="s">
        <v>8</v>
      </c>
      <c r="E2465" s="6">
        <f>VALUE(6000)</f>
        <v>6000</v>
      </c>
      <c r="F2465" s="5" t="s">
        <v>9</v>
      </c>
    </row>
    <row r="2466" spans="1:6" ht="43.5">
      <c r="A2466" s="1" t="s">
        <v>7217</v>
      </c>
      <c r="B2466" s="4" t="s">
        <v>7218</v>
      </c>
      <c r="C2466" s="3" t="s">
        <v>7219</v>
      </c>
      <c r="D2466" s="5" t="s">
        <v>8</v>
      </c>
      <c r="E2466" s="6">
        <f>VALUE(30000)</f>
        <v>30000</v>
      </c>
      <c r="F2466" s="5" t="s">
        <v>9</v>
      </c>
    </row>
    <row r="2467" spans="1:6" ht="43.5">
      <c r="A2467" s="1" t="s">
        <v>7220</v>
      </c>
      <c r="B2467" s="4" t="s">
        <v>7221</v>
      </c>
      <c r="C2467" s="3" t="s">
        <v>7222</v>
      </c>
      <c r="D2467" s="5" t="s">
        <v>8</v>
      </c>
      <c r="E2467" s="6">
        <f>VALUE(60000)</f>
        <v>60000</v>
      </c>
      <c r="F2467" s="5" t="s">
        <v>9</v>
      </c>
    </row>
    <row r="2468" spans="1:6" ht="58">
      <c r="A2468" s="1" t="s">
        <v>7223</v>
      </c>
      <c r="B2468" s="4" t="s">
        <v>7224</v>
      </c>
      <c r="C2468" s="3" t="s">
        <v>7225</v>
      </c>
      <c r="D2468" s="5" t="s">
        <v>8</v>
      </c>
      <c r="E2468" s="6">
        <f>VALUE(32995)</f>
        <v>32995</v>
      </c>
      <c r="F2468" s="5" t="s">
        <v>9</v>
      </c>
    </row>
    <row r="2469" spans="1:6">
      <c r="A2469" s="1" t="s">
        <v>7226</v>
      </c>
      <c r="B2469" s="4" t="s">
        <v>7227</v>
      </c>
      <c r="C2469" s="3" t="s">
        <v>7228</v>
      </c>
      <c r="D2469" s="5" t="s">
        <v>8</v>
      </c>
      <c r="E2469" s="6">
        <f>VALUE(3495)</f>
        <v>3495</v>
      </c>
      <c r="F2469" s="5" t="s">
        <v>9</v>
      </c>
    </row>
    <row r="2470" spans="1:6">
      <c r="A2470" s="1" t="s">
        <v>7229</v>
      </c>
      <c r="B2470" s="4" t="s">
        <v>7230</v>
      </c>
      <c r="C2470" s="3" t="s">
        <v>7231</v>
      </c>
      <c r="D2470" s="5" t="s">
        <v>8</v>
      </c>
      <c r="E2470" s="6">
        <f>VALUE(895)</f>
        <v>895</v>
      </c>
      <c r="F2470" s="5" t="s">
        <v>9</v>
      </c>
    </row>
    <row r="2471" spans="1:6">
      <c r="A2471" s="1" t="s">
        <v>7232</v>
      </c>
      <c r="B2471" s="4" t="s">
        <v>7233</v>
      </c>
      <c r="C2471" s="3" t="s">
        <v>7234</v>
      </c>
      <c r="D2471" s="5" t="s">
        <v>8</v>
      </c>
      <c r="E2471" s="6">
        <f>VALUE(3250)</f>
        <v>3250</v>
      </c>
      <c r="F2471" s="5" t="s">
        <v>9</v>
      </c>
    </row>
    <row r="2472" spans="1:6" ht="87">
      <c r="A2472" s="1" t="s">
        <v>7235</v>
      </c>
      <c r="B2472" s="4" t="s">
        <v>7236</v>
      </c>
      <c r="C2472" s="3" t="s">
        <v>7237</v>
      </c>
      <c r="D2472" s="5" t="s">
        <v>8</v>
      </c>
      <c r="E2472" s="6">
        <f>VALUE(1700)</f>
        <v>1700</v>
      </c>
      <c r="F2472" s="5" t="s">
        <v>9</v>
      </c>
    </row>
    <row r="2473" spans="1:6" ht="43.5">
      <c r="A2473" s="1" t="s">
        <v>7238</v>
      </c>
      <c r="B2473" s="4" t="s">
        <v>7239</v>
      </c>
      <c r="C2473" s="3" t="s">
        <v>7240</v>
      </c>
      <c r="D2473" s="5" t="s">
        <v>9</v>
      </c>
      <c r="E2473" s="6">
        <f>VALUE(0)</f>
        <v>0</v>
      </c>
      <c r="F2473" s="5" t="s">
        <v>9</v>
      </c>
    </row>
    <row r="2474" spans="1:6" ht="43.5">
      <c r="A2474" s="1" t="s">
        <v>7241</v>
      </c>
      <c r="B2474" s="4" t="s">
        <v>6229</v>
      </c>
      <c r="C2474" s="3" t="s">
        <v>7242</v>
      </c>
      <c r="D2474" s="5" t="s">
        <v>9</v>
      </c>
      <c r="E2474" s="6">
        <f>VALUE(17825)</f>
        <v>17825</v>
      </c>
      <c r="F2474" s="5" t="s">
        <v>9</v>
      </c>
    </row>
    <row r="2475" spans="1:6" ht="72.5">
      <c r="A2475" s="1" t="s">
        <v>7243</v>
      </c>
      <c r="B2475" s="4" t="s">
        <v>7244</v>
      </c>
      <c r="C2475" s="3" t="s">
        <v>7243</v>
      </c>
      <c r="D2475" s="5" t="s">
        <v>9</v>
      </c>
      <c r="E2475" s="6">
        <f>VALUE(45000)</f>
        <v>45000</v>
      </c>
      <c r="F2475" s="5" t="s">
        <v>9</v>
      </c>
    </row>
    <row r="2476" spans="1:6" ht="58">
      <c r="A2476" s="1" t="s">
        <v>7245</v>
      </c>
      <c r="B2476" s="4" t="s">
        <v>7246</v>
      </c>
      <c r="C2476" s="3" t="s">
        <v>7247</v>
      </c>
      <c r="D2476" s="5" t="s">
        <v>8</v>
      </c>
      <c r="E2476" s="6">
        <f>VALUE(235)</f>
        <v>235</v>
      </c>
      <c r="F2476" s="5" t="s">
        <v>6303</v>
      </c>
    </row>
    <row r="2477" spans="1:6" ht="58">
      <c r="A2477" s="1" t="s">
        <v>7248</v>
      </c>
      <c r="B2477" s="4" t="s">
        <v>7249</v>
      </c>
      <c r="C2477" s="3" t="s">
        <v>7250</v>
      </c>
      <c r="D2477" s="5" t="s">
        <v>8</v>
      </c>
      <c r="E2477" s="6">
        <f>VALUE(835)</f>
        <v>835</v>
      </c>
      <c r="F2477" s="5" t="s">
        <v>6303</v>
      </c>
    </row>
    <row r="2478" spans="1:6" ht="58">
      <c r="A2478" s="1" t="s">
        <v>7251</v>
      </c>
      <c r="B2478" s="4" t="s">
        <v>6638</v>
      </c>
      <c r="C2478" s="3" t="s">
        <v>7252</v>
      </c>
      <c r="D2478" s="5" t="s">
        <v>8</v>
      </c>
      <c r="E2478" s="6">
        <f>VALUE(2075)</f>
        <v>2075</v>
      </c>
      <c r="F2478" s="5" t="s">
        <v>6303</v>
      </c>
    </row>
    <row r="2479" spans="1:6" ht="58">
      <c r="A2479" s="1" t="s">
        <v>7253</v>
      </c>
      <c r="B2479" s="4" t="s">
        <v>7254</v>
      </c>
      <c r="C2479" s="3" t="s">
        <v>7255</v>
      </c>
      <c r="D2479" s="5" t="s">
        <v>8</v>
      </c>
      <c r="E2479" s="6">
        <f>VALUE(1145)</f>
        <v>1145</v>
      </c>
      <c r="F2479" s="5" t="s">
        <v>6303</v>
      </c>
    </row>
    <row r="2480" spans="1:6" ht="58">
      <c r="A2480" s="1" t="s">
        <v>7256</v>
      </c>
      <c r="B2480" s="4" t="s">
        <v>6644</v>
      </c>
      <c r="C2480" s="3" t="s">
        <v>7257</v>
      </c>
      <c r="D2480" s="5" t="s">
        <v>8</v>
      </c>
      <c r="E2480" s="6">
        <f>VALUE(2965)</f>
        <v>2965</v>
      </c>
      <c r="F2480" s="5" t="s">
        <v>6303</v>
      </c>
    </row>
    <row r="2481" spans="1:6" ht="43.5">
      <c r="A2481" s="1" t="s">
        <v>7258</v>
      </c>
      <c r="B2481" s="4" t="s">
        <v>7259</v>
      </c>
      <c r="C2481" s="3" t="s">
        <v>7260</v>
      </c>
      <c r="D2481" s="5" t="s">
        <v>8</v>
      </c>
      <c r="E2481" s="6">
        <f>VALUE(595)</f>
        <v>595</v>
      </c>
      <c r="F2481" s="5" t="s">
        <v>6303</v>
      </c>
    </row>
    <row r="2482" spans="1:6" ht="43.5">
      <c r="A2482" s="1" t="s">
        <v>7261</v>
      </c>
      <c r="B2482" s="4" t="s">
        <v>7262</v>
      </c>
      <c r="C2482" s="3" t="s">
        <v>7263</v>
      </c>
      <c r="D2482" s="5" t="s">
        <v>8</v>
      </c>
      <c r="E2482" s="6">
        <f>VALUE(1255)</f>
        <v>1255</v>
      </c>
      <c r="F2482" s="5" t="s">
        <v>6303</v>
      </c>
    </row>
    <row r="2483" spans="1:6" ht="43.5">
      <c r="A2483" s="1" t="s">
        <v>7264</v>
      </c>
      <c r="B2483" s="4" t="s">
        <v>7265</v>
      </c>
      <c r="C2483" s="3" t="s">
        <v>7266</v>
      </c>
      <c r="D2483" s="5" t="s">
        <v>8</v>
      </c>
      <c r="E2483" s="6">
        <f>VALUE(905)</f>
        <v>905</v>
      </c>
      <c r="F2483" s="5" t="s">
        <v>6303</v>
      </c>
    </row>
    <row r="2484" spans="1:6" ht="43.5">
      <c r="A2484" s="1" t="s">
        <v>7267</v>
      </c>
      <c r="B2484" s="4" t="s">
        <v>7268</v>
      </c>
      <c r="C2484" s="3" t="s">
        <v>7269</v>
      </c>
      <c r="D2484" s="5" t="s">
        <v>8</v>
      </c>
      <c r="E2484" s="6">
        <f>VALUE(1825)</f>
        <v>1825</v>
      </c>
      <c r="F2484" s="5" t="s">
        <v>6303</v>
      </c>
    </row>
    <row r="2485" spans="1:6" ht="58">
      <c r="A2485" s="1" t="s">
        <v>7270</v>
      </c>
      <c r="B2485" s="4" t="s">
        <v>6949</v>
      </c>
      <c r="C2485" s="3" t="s">
        <v>7271</v>
      </c>
      <c r="D2485" s="5" t="s">
        <v>8</v>
      </c>
      <c r="E2485" s="6">
        <f>VALUE(465)</f>
        <v>465</v>
      </c>
      <c r="F2485" s="5" t="s">
        <v>7272</v>
      </c>
    </row>
    <row r="2486" spans="1:6" ht="58">
      <c r="A2486" s="1" t="s">
        <v>7273</v>
      </c>
      <c r="B2486" s="4" t="s">
        <v>7274</v>
      </c>
      <c r="C2486" s="3" t="s">
        <v>7275</v>
      </c>
      <c r="D2486" s="5" t="s">
        <v>8</v>
      </c>
      <c r="E2486" s="6">
        <f>VALUE(2185)</f>
        <v>2185</v>
      </c>
      <c r="F2486" s="5" t="s">
        <v>7272</v>
      </c>
    </row>
    <row r="2487" spans="1:6" ht="58">
      <c r="A2487" s="1" t="s">
        <v>7276</v>
      </c>
      <c r="B2487" s="4" t="s">
        <v>6955</v>
      </c>
      <c r="C2487" s="3" t="s">
        <v>7277</v>
      </c>
      <c r="D2487" s="5" t="s">
        <v>8</v>
      </c>
      <c r="E2487" s="6">
        <f>VALUE(5405)</f>
        <v>5405</v>
      </c>
      <c r="F2487" s="5" t="s">
        <v>7272</v>
      </c>
    </row>
    <row r="2488" spans="1:6" ht="72.5">
      <c r="A2488" s="1" t="s">
        <v>7278</v>
      </c>
      <c r="B2488" s="4" t="s">
        <v>6958</v>
      </c>
      <c r="C2488" s="3" t="s">
        <v>7279</v>
      </c>
      <c r="D2488" s="5" t="s">
        <v>8</v>
      </c>
      <c r="E2488" s="6">
        <f>VALUE(3115)</f>
        <v>3115</v>
      </c>
      <c r="F2488" s="5" t="s">
        <v>7272</v>
      </c>
    </row>
    <row r="2489" spans="1:6" ht="58">
      <c r="A2489" s="1" t="s">
        <v>7280</v>
      </c>
      <c r="B2489" s="4" t="s">
        <v>6961</v>
      </c>
      <c r="C2489" s="3" t="s">
        <v>7281</v>
      </c>
      <c r="D2489" s="5" t="s">
        <v>8</v>
      </c>
      <c r="E2489" s="6">
        <f>VALUE(7595)</f>
        <v>7595</v>
      </c>
      <c r="F2489" s="5" t="s">
        <v>7272</v>
      </c>
    </row>
    <row r="2490" spans="1:6" ht="72.5">
      <c r="A2490" s="1" t="s">
        <v>7282</v>
      </c>
      <c r="B2490" s="4" t="s">
        <v>6964</v>
      </c>
      <c r="C2490" s="3" t="s">
        <v>7283</v>
      </c>
      <c r="D2490" s="5" t="s">
        <v>8</v>
      </c>
      <c r="E2490" s="6">
        <f>VALUE(5095)</f>
        <v>5095</v>
      </c>
      <c r="F2490" s="5" t="s">
        <v>7272</v>
      </c>
    </row>
    <row r="2491" spans="1:6" ht="43.5">
      <c r="A2491" s="1" t="s">
        <v>7284</v>
      </c>
      <c r="B2491" s="4" t="s">
        <v>7285</v>
      </c>
      <c r="C2491" s="3" t="s">
        <v>7286</v>
      </c>
      <c r="D2491" s="5" t="s">
        <v>8</v>
      </c>
      <c r="E2491" s="6">
        <f>VALUE(1725)</f>
        <v>1725</v>
      </c>
      <c r="F2491" s="5" t="s">
        <v>7272</v>
      </c>
    </row>
    <row r="2492" spans="1:6" ht="43.5">
      <c r="A2492" s="1" t="s">
        <v>7287</v>
      </c>
      <c r="B2492" s="4" t="s">
        <v>7288</v>
      </c>
      <c r="C2492" s="3" t="s">
        <v>7289</v>
      </c>
      <c r="D2492" s="5" t="s">
        <v>8</v>
      </c>
      <c r="E2492" s="6">
        <f>VALUE(3225)</f>
        <v>3225</v>
      </c>
      <c r="F2492" s="5" t="s">
        <v>7272</v>
      </c>
    </row>
    <row r="2493" spans="1:6" ht="43.5">
      <c r="A2493" s="1" t="s">
        <v>7290</v>
      </c>
      <c r="B2493" s="4" t="s">
        <v>7291</v>
      </c>
      <c r="C2493" s="3" t="s">
        <v>7292</v>
      </c>
      <c r="D2493" s="5" t="s">
        <v>8</v>
      </c>
      <c r="E2493" s="6">
        <f>VALUE(2655)</f>
        <v>2655</v>
      </c>
      <c r="F2493" s="5" t="s">
        <v>7272</v>
      </c>
    </row>
    <row r="2494" spans="1:6" ht="43.5">
      <c r="A2494" s="1" t="s">
        <v>7293</v>
      </c>
      <c r="B2494" s="4" t="s">
        <v>7294</v>
      </c>
      <c r="C2494" s="3" t="s">
        <v>7295</v>
      </c>
      <c r="D2494" s="5" t="s">
        <v>8</v>
      </c>
      <c r="E2494" s="6">
        <f>VALUE(4475)</f>
        <v>4475</v>
      </c>
      <c r="F2494" s="5" t="s">
        <v>7272</v>
      </c>
    </row>
    <row r="2495" spans="1:6" ht="43.5">
      <c r="A2495" s="1" t="s">
        <v>7296</v>
      </c>
      <c r="B2495" s="4" t="s">
        <v>7297</v>
      </c>
      <c r="C2495" s="3" t="s">
        <v>7298</v>
      </c>
      <c r="D2495" s="5" t="s">
        <v>8</v>
      </c>
      <c r="E2495" s="6">
        <f>VALUE(4635)</f>
        <v>4635</v>
      </c>
      <c r="F2495" s="5" t="s">
        <v>7272</v>
      </c>
    </row>
    <row r="2496" spans="1:6" ht="58">
      <c r="A2496" s="1" t="s">
        <v>7299</v>
      </c>
      <c r="B2496" s="4" t="s">
        <v>7300</v>
      </c>
      <c r="C2496" s="3" t="s">
        <v>7301</v>
      </c>
      <c r="D2496" s="5" t="s">
        <v>8</v>
      </c>
      <c r="E2496" s="6">
        <f>VALUE(935)</f>
        <v>935</v>
      </c>
      <c r="F2496" s="5" t="s">
        <v>7302</v>
      </c>
    </row>
    <row r="2497" spans="1:6" ht="58">
      <c r="A2497" s="1" t="s">
        <v>7303</v>
      </c>
      <c r="B2497" s="4" t="s">
        <v>7304</v>
      </c>
      <c r="C2497" s="3" t="s">
        <v>7305</v>
      </c>
      <c r="D2497" s="5" t="s">
        <v>8</v>
      </c>
      <c r="E2497" s="6">
        <f>VALUE(3275)</f>
        <v>3275</v>
      </c>
      <c r="F2497" s="5" t="s">
        <v>7302</v>
      </c>
    </row>
    <row r="2498" spans="1:6" ht="58">
      <c r="A2498" s="1" t="s">
        <v>7306</v>
      </c>
      <c r="B2498" s="4" t="s">
        <v>7158</v>
      </c>
      <c r="C2498" s="3" t="s">
        <v>7307</v>
      </c>
      <c r="D2498" s="5" t="s">
        <v>8</v>
      </c>
      <c r="E2498" s="6">
        <f>VALUE(9355)</f>
        <v>9355</v>
      </c>
      <c r="F2498" s="5" t="s">
        <v>7302</v>
      </c>
    </row>
    <row r="2499" spans="1:6" ht="58">
      <c r="A2499" s="1" t="s">
        <v>7308</v>
      </c>
      <c r="B2499" s="4" t="s">
        <v>7309</v>
      </c>
      <c r="C2499" s="3" t="s">
        <v>7310</v>
      </c>
      <c r="D2499" s="5" t="s">
        <v>8</v>
      </c>
      <c r="E2499" s="6">
        <f>VALUE(4465)</f>
        <v>4465</v>
      </c>
      <c r="F2499" s="5" t="s">
        <v>7302</v>
      </c>
    </row>
    <row r="2500" spans="1:6" ht="58">
      <c r="A2500" s="1" t="s">
        <v>7311</v>
      </c>
      <c r="B2500" s="4" t="s">
        <v>7164</v>
      </c>
      <c r="C2500" s="3" t="s">
        <v>7312</v>
      </c>
      <c r="D2500" s="5" t="s">
        <v>8</v>
      </c>
      <c r="E2500" s="6">
        <f>VALUE(12475)</f>
        <v>12475</v>
      </c>
      <c r="F2500" s="5" t="s">
        <v>7302</v>
      </c>
    </row>
    <row r="2501" spans="1:6" ht="58">
      <c r="A2501" s="1" t="s">
        <v>7313</v>
      </c>
      <c r="B2501" s="4" t="s">
        <v>7314</v>
      </c>
      <c r="C2501" s="3" t="s">
        <v>7315</v>
      </c>
      <c r="D2501" s="5" t="s">
        <v>8</v>
      </c>
      <c r="E2501" s="6">
        <f>VALUE(7695)</f>
        <v>7695</v>
      </c>
      <c r="F2501" s="5" t="s">
        <v>7302</v>
      </c>
    </row>
    <row r="2502" spans="1:6" ht="43.5">
      <c r="A2502" s="1" t="s">
        <v>7316</v>
      </c>
      <c r="B2502" s="4" t="s">
        <v>7317</v>
      </c>
      <c r="C2502" s="3" t="s">
        <v>7318</v>
      </c>
      <c r="D2502" s="5" t="s">
        <v>8</v>
      </c>
      <c r="E2502" s="6">
        <f>VALUE(2345)</f>
        <v>2345</v>
      </c>
      <c r="F2502" s="5" t="s">
        <v>7302</v>
      </c>
    </row>
    <row r="2503" spans="1:6" ht="43.5">
      <c r="A2503" s="1" t="s">
        <v>7319</v>
      </c>
      <c r="B2503" s="4" t="s">
        <v>7320</v>
      </c>
      <c r="C2503" s="3" t="s">
        <v>7321</v>
      </c>
      <c r="D2503" s="5" t="s">
        <v>8</v>
      </c>
      <c r="E2503" s="6">
        <f>VALUE(6085)</f>
        <v>6085</v>
      </c>
      <c r="F2503" s="5" t="s">
        <v>7302</v>
      </c>
    </row>
    <row r="2504" spans="1:6" ht="43.5">
      <c r="A2504" s="1" t="s">
        <v>7322</v>
      </c>
      <c r="B2504" s="4" t="s">
        <v>7323</v>
      </c>
      <c r="C2504" s="3" t="s">
        <v>7324</v>
      </c>
      <c r="D2504" s="5" t="s">
        <v>8</v>
      </c>
      <c r="E2504" s="6">
        <f>VALUE(3535)</f>
        <v>3535</v>
      </c>
      <c r="F2504" s="5" t="s">
        <v>7302</v>
      </c>
    </row>
    <row r="2505" spans="1:6" ht="43.5">
      <c r="A2505" s="1" t="s">
        <v>7325</v>
      </c>
      <c r="B2505" s="4" t="s">
        <v>7326</v>
      </c>
      <c r="C2505" s="3" t="s">
        <v>7327</v>
      </c>
      <c r="D2505" s="5" t="s">
        <v>8</v>
      </c>
      <c r="E2505" s="6">
        <f>VALUE(8005)</f>
        <v>8005</v>
      </c>
      <c r="F2505" s="5" t="s">
        <v>7302</v>
      </c>
    </row>
    <row r="2506" spans="1:6" ht="43.5">
      <c r="A2506" s="1" t="s">
        <v>7328</v>
      </c>
      <c r="B2506" s="4" t="s">
        <v>7329</v>
      </c>
      <c r="C2506" s="3" t="s">
        <v>7330</v>
      </c>
      <c r="D2506" s="5" t="s">
        <v>8</v>
      </c>
      <c r="E2506" s="6">
        <f>VALUE(6765)</f>
        <v>6765</v>
      </c>
      <c r="F2506" s="5" t="s">
        <v>7302</v>
      </c>
    </row>
    <row r="2507" spans="1:6" ht="29">
      <c r="A2507" s="1" t="s">
        <v>7331</v>
      </c>
      <c r="B2507" s="4" t="s">
        <v>7332</v>
      </c>
      <c r="C2507" s="3" t="s">
        <v>7333</v>
      </c>
      <c r="D2507" s="5" t="s">
        <v>8</v>
      </c>
      <c r="E2507" s="6">
        <f>VALUE(595)</f>
        <v>595</v>
      </c>
      <c r="F2507" s="5" t="s">
        <v>55</v>
      </c>
    </row>
    <row r="2508" spans="1:6" ht="29">
      <c r="A2508" s="1" t="s">
        <v>7334</v>
      </c>
      <c r="B2508" s="4" t="s">
        <v>7335</v>
      </c>
      <c r="C2508" s="3" t="s">
        <v>7334</v>
      </c>
      <c r="D2508" s="5" t="s">
        <v>8</v>
      </c>
      <c r="E2508" s="6">
        <f>VALUE(1000)</f>
        <v>1000</v>
      </c>
      <c r="F2508" s="5" t="s">
        <v>7336</v>
      </c>
    </row>
    <row r="2509" spans="1:6">
      <c r="A2509" s="1" t="s">
        <v>7337</v>
      </c>
      <c r="B2509" s="4" t="s">
        <v>7338</v>
      </c>
      <c r="C2509" s="3" t="s">
        <v>7337</v>
      </c>
      <c r="D2509" s="5" t="s">
        <v>8</v>
      </c>
      <c r="E2509" s="6">
        <f>VALUE(19995)</f>
        <v>19995</v>
      </c>
      <c r="F2509" s="5" t="s">
        <v>7339</v>
      </c>
    </row>
    <row r="2510" spans="1:6">
      <c r="A2510" s="1" t="s">
        <v>7340</v>
      </c>
      <c r="B2510" s="4" t="s">
        <v>7341</v>
      </c>
      <c r="C2510" s="3" t="s">
        <v>7340</v>
      </c>
      <c r="D2510" s="5" t="s">
        <v>8</v>
      </c>
      <c r="E2510" s="6">
        <f>VALUE(9995)</f>
        <v>9995</v>
      </c>
      <c r="F2510" s="5" t="s">
        <v>7339</v>
      </c>
    </row>
    <row r="2511" spans="1:6" ht="29">
      <c r="A2511" s="1" t="s">
        <v>7342</v>
      </c>
      <c r="B2511" s="4" t="s">
        <v>7343</v>
      </c>
      <c r="C2511" s="3" t="s">
        <v>7342</v>
      </c>
      <c r="D2511" s="5" t="s">
        <v>8</v>
      </c>
      <c r="E2511" s="6">
        <f>VALUE(5995)</f>
        <v>5995</v>
      </c>
      <c r="F2511" s="5" t="s">
        <v>7339</v>
      </c>
    </row>
    <row r="2512" spans="1:6">
      <c r="A2512" s="1" t="s">
        <v>7344</v>
      </c>
      <c r="B2512" s="4" t="s">
        <v>7345</v>
      </c>
      <c r="C2512" s="3" t="s">
        <v>7344</v>
      </c>
      <c r="D2512" s="5" t="s">
        <v>8</v>
      </c>
      <c r="E2512" s="6">
        <f>VALUE(2995)</f>
        <v>2995</v>
      </c>
      <c r="F2512" s="5" t="s">
        <v>7339</v>
      </c>
    </row>
    <row r="2513" spans="1:6" ht="87">
      <c r="A2513" s="1" t="s">
        <v>7346</v>
      </c>
      <c r="B2513" s="4" t="s">
        <v>7347</v>
      </c>
      <c r="C2513" s="3" t="s">
        <v>7348</v>
      </c>
      <c r="D2513" s="5" t="s">
        <v>8</v>
      </c>
      <c r="E2513" s="6">
        <f>VALUE(1700)</f>
        <v>1700</v>
      </c>
      <c r="F2513" s="5" t="s">
        <v>9</v>
      </c>
    </row>
    <row r="2514" spans="1:6" ht="58">
      <c r="A2514" s="1" t="s">
        <v>7349</v>
      </c>
      <c r="B2514" s="4" t="s">
        <v>7350</v>
      </c>
      <c r="C2514" s="3" t="s">
        <v>7351</v>
      </c>
      <c r="D2514" s="5" t="s">
        <v>8</v>
      </c>
      <c r="E2514" s="6">
        <f>VALUE(83595)</f>
        <v>83595</v>
      </c>
      <c r="F2514" s="5" t="s">
        <v>7302</v>
      </c>
    </row>
    <row r="2515" spans="1:6" ht="29">
      <c r="A2515" s="1" t="s">
        <v>7352</v>
      </c>
      <c r="B2515" s="4" t="s">
        <v>7353</v>
      </c>
      <c r="C2515" s="3" t="s">
        <v>7354</v>
      </c>
      <c r="D2515" s="5" t="s">
        <v>8</v>
      </c>
      <c r="E2515" s="6">
        <f>VALUE(1785)</f>
        <v>1785</v>
      </c>
      <c r="F2515" s="5" t="s">
        <v>55</v>
      </c>
    </row>
    <row r="2516" spans="1:6" ht="29">
      <c r="A2516" s="1" t="s">
        <v>7355</v>
      </c>
      <c r="B2516" s="4" t="s">
        <v>7356</v>
      </c>
      <c r="C2516" s="3" t="s">
        <v>7357</v>
      </c>
      <c r="D2516" s="5" t="s">
        <v>8</v>
      </c>
      <c r="E2516" s="6">
        <f>VALUE(2625)</f>
        <v>2625</v>
      </c>
      <c r="F2516" s="5" t="s">
        <v>55</v>
      </c>
    </row>
    <row r="2517" spans="1:6" ht="58">
      <c r="A2517" s="1" t="s">
        <v>7358</v>
      </c>
      <c r="B2517" s="4" t="s">
        <v>7359</v>
      </c>
      <c r="C2517" s="3" t="s">
        <v>7360</v>
      </c>
      <c r="D2517" s="5" t="s">
        <v>8</v>
      </c>
      <c r="E2517" s="6">
        <f>VALUE(2575)</f>
        <v>2575</v>
      </c>
      <c r="F2517" s="5" t="s">
        <v>7361</v>
      </c>
    </row>
    <row r="2518" spans="1:6" ht="58">
      <c r="A2518" s="1" t="s">
        <v>7362</v>
      </c>
      <c r="B2518" s="4" t="s">
        <v>7363</v>
      </c>
      <c r="C2518" s="3" t="s">
        <v>7364</v>
      </c>
      <c r="D2518" s="5" t="s">
        <v>8</v>
      </c>
      <c r="E2518" s="6">
        <f>VALUE(5150)</f>
        <v>5150</v>
      </c>
      <c r="F2518" s="5" t="s">
        <v>7361</v>
      </c>
    </row>
    <row r="2519" spans="1:6" ht="58">
      <c r="A2519" s="1" t="s">
        <v>7365</v>
      </c>
      <c r="B2519" s="4" t="s">
        <v>7366</v>
      </c>
      <c r="C2519" s="3" t="s">
        <v>7367</v>
      </c>
      <c r="D2519" s="5" t="s">
        <v>8</v>
      </c>
      <c r="E2519" s="6">
        <f>VALUE(36025)</f>
        <v>36025</v>
      </c>
      <c r="F2519" s="5" t="s">
        <v>7361</v>
      </c>
    </row>
    <row r="2520" spans="1:6" ht="58">
      <c r="A2520" s="1" t="s">
        <v>7368</v>
      </c>
      <c r="B2520" s="4" t="s">
        <v>7369</v>
      </c>
      <c r="C2520" s="3" t="s">
        <v>7370</v>
      </c>
      <c r="D2520" s="5" t="s">
        <v>8</v>
      </c>
      <c r="E2520" s="6">
        <f>VALUE(252250)</f>
        <v>252250</v>
      </c>
      <c r="F2520" s="5" t="s">
        <v>7361</v>
      </c>
    </row>
    <row r="2521" spans="1:6">
      <c r="A2521" s="1" t="s">
        <v>7371</v>
      </c>
      <c r="B2521" s="4" t="s">
        <v>7372</v>
      </c>
      <c r="C2521" s="3" t="s">
        <v>7373</v>
      </c>
      <c r="D2521" s="5" t="s">
        <v>8</v>
      </c>
      <c r="E2521" s="6">
        <f>VALUE(49995)</f>
        <v>49995</v>
      </c>
      <c r="F2521" s="5" t="s">
        <v>7374</v>
      </c>
    </row>
    <row r="2522" spans="1:6">
      <c r="A2522" s="1" t="s">
        <v>7375</v>
      </c>
      <c r="B2522" s="4" t="s">
        <v>7376</v>
      </c>
      <c r="C2522" s="3" t="s">
        <v>7377</v>
      </c>
      <c r="D2522" s="5" t="s">
        <v>8</v>
      </c>
      <c r="E2522" s="6">
        <f>VALUE(3995)</f>
        <v>3995</v>
      </c>
      <c r="F2522" s="5" t="s">
        <v>7374</v>
      </c>
    </row>
    <row r="2523" spans="1:6">
      <c r="A2523" s="1" t="s">
        <v>7378</v>
      </c>
      <c r="B2523" s="4" t="s">
        <v>7379</v>
      </c>
      <c r="C2523" s="3" t="s">
        <v>7380</v>
      </c>
      <c r="D2523" s="5" t="s">
        <v>8</v>
      </c>
      <c r="E2523" s="6">
        <f>VALUE(4995)</f>
        <v>4995</v>
      </c>
      <c r="F2523" s="5" t="s">
        <v>7374</v>
      </c>
    </row>
    <row r="2524" spans="1:6">
      <c r="A2524" s="1" t="s">
        <v>7381</v>
      </c>
      <c r="B2524" s="4" t="s">
        <v>7382</v>
      </c>
      <c r="C2524" s="3" t="s">
        <v>7383</v>
      </c>
      <c r="D2524" s="5" t="s">
        <v>8</v>
      </c>
      <c r="E2524" s="6">
        <f>VALUE(29945)</f>
        <v>29945</v>
      </c>
      <c r="F2524" s="5" t="s">
        <v>7374</v>
      </c>
    </row>
    <row r="2525" spans="1:6">
      <c r="A2525" s="1" t="s">
        <v>7384</v>
      </c>
      <c r="B2525" s="4" t="s">
        <v>7385</v>
      </c>
      <c r="C2525" s="3" t="s">
        <v>7386</v>
      </c>
      <c r="D2525" s="5" t="s">
        <v>8</v>
      </c>
      <c r="E2525" s="6">
        <f>VALUE(49975)</f>
        <v>49975</v>
      </c>
      <c r="F2525" s="5" t="s">
        <v>7374</v>
      </c>
    </row>
    <row r="2526" spans="1:6">
      <c r="A2526" s="1" t="s">
        <v>7387</v>
      </c>
      <c r="B2526" s="4" t="s">
        <v>7388</v>
      </c>
      <c r="C2526" s="3" t="s">
        <v>7389</v>
      </c>
      <c r="D2526" s="5" t="s">
        <v>8</v>
      </c>
      <c r="E2526" s="6">
        <f>VALUE(17895)</f>
        <v>17895</v>
      </c>
      <c r="F2526" s="5" t="s">
        <v>7374</v>
      </c>
    </row>
    <row r="2527" spans="1:6">
      <c r="A2527" s="1" t="s">
        <v>7390</v>
      </c>
      <c r="B2527" s="4" t="s">
        <v>7391</v>
      </c>
      <c r="C2527" s="3" t="s">
        <v>7392</v>
      </c>
      <c r="D2527" s="5" t="s">
        <v>8</v>
      </c>
      <c r="E2527" s="6">
        <f>VALUE(28895)</f>
        <v>28895</v>
      </c>
      <c r="F2527" s="5" t="s">
        <v>7374</v>
      </c>
    </row>
    <row r="2528" spans="1:6" ht="29">
      <c r="A2528" s="1" t="s">
        <v>7393</v>
      </c>
      <c r="B2528" s="4" t="s">
        <v>7394</v>
      </c>
      <c r="C2528" s="3" t="s">
        <v>7395</v>
      </c>
      <c r="D2528" s="5" t="s">
        <v>8</v>
      </c>
      <c r="E2528" s="6">
        <f>VALUE(645)</f>
        <v>645</v>
      </c>
      <c r="F2528" s="5" t="s">
        <v>7374</v>
      </c>
    </row>
    <row r="2529" spans="1:6">
      <c r="A2529" s="1" t="s">
        <v>7396</v>
      </c>
      <c r="B2529" s="4" t="s">
        <v>7397</v>
      </c>
      <c r="C2529" s="3" t="s">
        <v>7398</v>
      </c>
      <c r="D2529" s="5" t="s">
        <v>8</v>
      </c>
      <c r="E2529" s="6">
        <f>VALUE(3995)</f>
        <v>3995</v>
      </c>
      <c r="F2529" s="5" t="s">
        <v>7374</v>
      </c>
    </row>
    <row r="2530" spans="1:6">
      <c r="A2530" s="1" t="s">
        <v>7399</v>
      </c>
      <c r="B2530" s="4" t="s">
        <v>7400</v>
      </c>
      <c r="C2530" s="3" t="s">
        <v>7401</v>
      </c>
      <c r="D2530" s="5" t="s">
        <v>8</v>
      </c>
      <c r="E2530" s="6">
        <f>VALUE(4995)</f>
        <v>4995</v>
      </c>
      <c r="F2530" s="5" t="s">
        <v>7374</v>
      </c>
    </row>
    <row r="2531" spans="1:6">
      <c r="A2531" s="1" t="s">
        <v>7402</v>
      </c>
      <c r="B2531" s="4" t="s">
        <v>7403</v>
      </c>
      <c r="C2531" s="3" t="s">
        <v>7404</v>
      </c>
      <c r="D2531" s="5" t="s">
        <v>8</v>
      </c>
      <c r="E2531" s="6">
        <f>VALUE(5995)</f>
        <v>5995</v>
      </c>
      <c r="F2531" s="5" t="s">
        <v>7374</v>
      </c>
    </row>
    <row r="2532" spans="1:6" ht="72.5">
      <c r="A2532" s="1" t="s">
        <v>7405</v>
      </c>
      <c r="B2532" s="4" t="s">
        <v>7406</v>
      </c>
      <c r="C2532" s="3" t="s">
        <v>7407</v>
      </c>
      <c r="D2532" s="5" t="s">
        <v>8</v>
      </c>
      <c r="E2532" s="6">
        <f>VALUE(650)</f>
        <v>650</v>
      </c>
      <c r="F2532" s="5" t="s">
        <v>7408</v>
      </c>
    </row>
    <row r="2533" spans="1:6" ht="58">
      <c r="A2533" s="1" t="s">
        <v>7409</v>
      </c>
      <c r="B2533" s="4" t="s">
        <v>7410</v>
      </c>
      <c r="C2533" s="3" t="s">
        <v>7411</v>
      </c>
      <c r="D2533" s="5" t="s">
        <v>8</v>
      </c>
      <c r="E2533" s="6">
        <f>VALUE(350)</f>
        <v>350</v>
      </c>
      <c r="F2533" s="5" t="s">
        <v>7408</v>
      </c>
    </row>
    <row r="2534" spans="1:6" ht="29">
      <c r="A2534" s="1" t="s">
        <v>7412</v>
      </c>
      <c r="B2534" s="4" t="s">
        <v>7413</v>
      </c>
      <c r="C2534" s="3" t="s">
        <v>7414</v>
      </c>
      <c r="D2534" s="5" t="s">
        <v>8</v>
      </c>
      <c r="E2534" s="6">
        <f>VALUE(1495)</f>
        <v>1495</v>
      </c>
      <c r="F2534" s="5" t="s">
        <v>6330</v>
      </c>
    </row>
    <row r="2535" spans="1:6" ht="29">
      <c r="A2535" s="1" t="s">
        <v>7415</v>
      </c>
      <c r="B2535" s="4" t="s">
        <v>7416</v>
      </c>
      <c r="C2535" s="3" t="s">
        <v>7417</v>
      </c>
      <c r="D2535" s="5" t="s">
        <v>8</v>
      </c>
      <c r="E2535" s="6">
        <f>VALUE(995)</f>
        <v>995</v>
      </c>
      <c r="F2535" s="5" t="s">
        <v>6330</v>
      </c>
    </row>
    <row r="2536" spans="1:6">
      <c r="A2536" s="1" t="s">
        <v>7418</v>
      </c>
      <c r="B2536" s="4" t="s">
        <v>7419</v>
      </c>
      <c r="C2536" s="3" t="s">
        <v>7420</v>
      </c>
      <c r="D2536" s="5" t="s">
        <v>8</v>
      </c>
      <c r="E2536" s="6">
        <f>VALUE(1545)</f>
        <v>1545</v>
      </c>
      <c r="F2536" s="5" t="s">
        <v>7339</v>
      </c>
    </row>
    <row r="2537" spans="1:6">
      <c r="A2537" s="1" t="s">
        <v>7421</v>
      </c>
      <c r="B2537" s="4" t="s">
        <v>7422</v>
      </c>
      <c r="C2537" s="3" t="s">
        <v>7423</v>
      </c>
      <c r="D2537" s="5" t="s">
        <v>8</v>
      </c>
      <c r="E2537" s="6">
        <f>VALUE(4155)</f>
        <v>4155</v>
      </c>
      <c r="F2537" s="5" t="s">
        <v>7339</v>
      </c>
    </row>
    <row r="2538" spans="1:6">
      <c r="A2538" s="1" t="s">
        <v>7424</v>
      </c>
      <c r="B2538" s="4" t="s">
        <v>7425</v>
      </c>
      <c r="C2538" s="3" t="s">
        <v>7426</v>
      </c>
      <c r="D2538" s="5" t="s">
        <v>8</v>
      </c>
      <c r="E2538" s="6">
        <f>VALUE(4275)</f>
        <v>4275</v>
      </c>
      <c r="F2538" s="5" t="s">
        <v>7339</v>
      </c>
    </row>
    <row r="2539" spans="1:6" ht="58">
      <c r="A2539" s="1" t="s">
        <v>7427</v>
      </c>
      <c r="B2539" s="4" t="s">
        <v>7428</v>
      </c>
      <c r="C2539" s="3" t="s">
        <v>7429</v>
      </c>
      <c r="D2539" s="5" t="s">
        <v>9</v>
      </c>
      <c r="E2539" s="6">
        <f>VALUE(13995)</f>
        <v>13995</v>
      </c>
      <c r="F2539" s="5" t="s">
        <v>9</v>
      </c>
    </row>
    <row r="2540" spans="1:6" ht="29">
      <c r="A2540" s="1" t="s">
        <v>7430</v>
      </c>
      <c r="B2540" s="4" t="s">
        <v>7431</v>
      </c>
      <c r="C2540" s="3" t="s">
        <v>7432</v>
      </c>
      <c r="D2540" s="5" t="s">
        <v>9</v>
      </c>
      <c r="E2540" s="6">
        <f>VALUE(3045)</f>
        <v>3045</v>
      </c>
      <c r="F2540" s="5" t="s">
        <v>9</v>
      </c>
    </row>
    <row r="2541" spans="1:6" ht="58">
      <c r="A2541" s="1" t="s">
        <v>7433</v>
      </c>
      <c r="B2541" s="4" t="s">
        <v>7434</v>
      </c>
      <c r="C2541" s="3" t="s">
        <v>7435</v>
      </c>
      <c r="D2541" s="5" t="s">
        <v>9</v>
      </c>
      <c r="E2541" s="6">
        <f>VALUE(1955)</f>
        <v>1955</v>
      </c>
      <c r="F2541" s="5" t="s">
        <v>9</v>
      </c>
    </row>
    <row r="2542" spans="1:6" ht="58">
      <c r="A2542" s="1" t="s">
        <v>7436</v>
      </c>
      <c r="B2542" s="4" t="s">
        <v>7437</v>
      </c>
      <c r="C2542" s="3" t="s">
        <v>7438</v>
      </c>
      <c r="D2542" s="5" t="s">
        <v>9</v>
      </c>
      <c r="E2542" s="6">
        <f>VALUE(825)</f>
        <v>825</v>
      </c>
      <c r="F2542" s="5" t="s">
        <v>9</v>
      </c>
    </row>
    <row r="2543" spans="1:6" ht="58">
      <c r="A2543" s="1" t="s">
        <v>7439</v>
      </c>
      <c r="B2543" s="4" t="s">
        <v>7440</v>
      </c>
      <c r="C2543" s="3" t="s">
        <v>7441</v>
      </c>
      <c r="D2543" s="5" t="s">
        <v>9</v>
      </c>
      <c r="E2543" s="6">
        <f>VALUE(1645)</f>
        <v>1645</v>
      </c>
      <c r="F2543" s="5" t="s">
        <v>9</v>
      </c>
    </row>
    <row r="2544" spans="1:6" ht="58">
      <c r="A2544" s="1" t="s">
        <v>7442</v>
      </c>
      <c r="B2544" s="4" t="s">
        <v>7443</v>
      </c>
      <c r="C2544" s="3" t="s">
        <v>7444</v>
      </c>
      <c r="D2544" s="5" t="s">
        <v>9</v>
      </c>
      <c r="E2544" s="6">
        <f>VALUE(1645)</f>
        <v>1645</v>
      </c>
      <c r="F2544" s="5" t="s">
        <v>9</v>
      </c>
    </row>
    <row r="2545" spans="1:6" ht="58">
      <c r="A2545" s="1" t="s">
        <v>7445</v>
      </c>
      <c r="B2545" s="4" t="s">
        <v>7446</v>
      </c>
      <c r="C2545" s="3" t="s">
        <v>7447</v>
      </c>
      <c r="D2545" s="5" t="s">
        <v>9</v>
      </c>
      <c r="E2545" s="6">
        <f>VALUE(2265)</f>
        <v>2265</v>
      </c>
      <c r="F2545" s="5" t="s">
        <v>9</v>
      </c>
    </row>
    <row r="2546" spans="1:6" ht="58">
      <c r="A2546" s="1" t="s">
        <v>7448</v>
      </c>
      <c r="B2546" s="4" t="s">
        <v>7449</v>
      </c>
      <c r="C2546" s="3" t="s">
        <v>7450</v>
      </c>
      <c r="D2546" s="5" t="s">
        <v>9</v>
      </c>
      <c r="E2546" s="6">
        <f>VALUE(90635)</f>
        <v>90635</v>
      </c>
      <c r="F2546" s="5" t="s">
        <v>9</v>
      </c>
    </row>
    <row r="2547" spans="1:6" ht="58">
      <c r="A2547" s="1" t="s">
        <v>7451</v>
      </c>
      <c r="B2547" s="4" t="s">
        <v>7452</v>
      </c>
      <c r="C2547" s="3" t="s">
        <v>7453</v>
      </c>
      <c r="D2547" s="5" t="s">
        <v>9</v>
      </c>
      <c r="E2547" s="6">
        <f>VALUE(3675)</f>
        <v>3675</v>
      </c>
      <c r="F2547" s="5" t="s">
        <v>9</v>
      </c>
    </row>
    <row r="2548" spans="1:6" ht="43.5">
      <c r="A2548" s="1" t="s">
        <v>7454</v>
      </c>
      <c r="B2548" s="4" t="s">
        <v>7455</v>
      </c>
      <c r="C2548" s="3" t="s">
        <v>7456</v>
      </c>
      <c r="D2548" s="5" t="s">
        <v>9</v>
      </c>
      <c r="E2548" s="6">
        <f>VALUE(45315)</f>
        <v>45315</v>
      </c>
      <c r="F2548" s="5" t="s">
        <v>9</v>
      </c>
    </row>
    <row r="2549" spans="1:6" ht="58">
      <c r="A2549" s="1" t="s">
        <v>7457</v>
      </c>
      <c r="B2549" s="4" t="s">
        <v>7458</v>
      </c>
      <c r="C2549" s="3" t="s">
        <v>7459</v>
      </c>
      <c r="D2549" s="5" t="s">
        <v>9</v>
      </c>
      <c r="E2549" s="6">
        <f>VALUE(1845)</f>
        <v>1845</v>
      </c>
      <c r="F2549" s="5" t="s">
        <v>9</v>
      </c>
    </row>
    <row r="2550" spans="1:6" ht="58">
      <c r="A2550" s="1" t="s">
        <v>7460</v>
      </c>
      <c r="B2550" s="4" t="s">
        <v>7461</v>
      </c>
      <c r="C2550" s="3" t="s">
        <v>7462</v>
      </c>
      <c r="D2550" s="5" t="s">
        <v>9</v>
      </c>
      <c r="E2550" s="6">
        <f>VALUE(4635)</f>
        <v>4635</v>
      </c>
      <c r="F2550" s="5" t="s">
        <v>9</v>
      </c>
    </row>
    <row r="2551" spans="1:6" ht="58">
      <c r="A2551" s="1" t="s">
        <v>7463</v>
      </c>
      <c r="B2551" s="4" t="s">
        <v>7464</v>
      </c>
      <c r="C2551" s="3" t="s">
        <v>7465</v>
      </c>
      <c r="D2551" s="5" t="s">
        <v>9</v>
      </c>
      <c r="E2551" s="6">
        <f>VALUE(4635)</f>
        <v>4635</v>
      </c>
      <c r="F2551" s="5" t="s">
        <v>9</v>
      </c>
    </row>
    <row r="2552" spans="1:6" ht="58">
      <c r="A2552" s="1" t="s">
        <v>7466</v>
      </c>
      <c r="B2552" s="4" t="s">
        <v>7467</v>
      </c>
      <c r="C2552" s="3" t="s">
        <v>7468</v>
      </c>
      <c r="D2552" s="5" t="s">
        <v>9</v>
      </c>
      <c r="E2552" s="6">
        <f>VALUE(6000)</f>
        <v>6000</v>
      </c>
      <c r="F2552" s="5" t="s">
        <v>9</v>
      </c>
    </row>
    <row r="2553" spans="1:6" ht="43.5">
      <c r="A2553" s="1" t="s">
        <v>7469</v>
      </c>
      <c r="B2553" s="4" t="s">
        <v>7470</v>
      </c>
      <c r="C2553" s="3" t="s">
        <v>7471</v>
      </c>
      <c r="D2553" s="5" t="s">
        <v>9</v>
      </c>
      <c r="E2553" s="6">
        <f>VALUE(16795)</f>
        <v>16795</v>
      </c>
      <c r="F2553" s="5" t="s">
        <v>9</v>
      </c>
    </row>
    <row r="2554" spans="1:6" ht="29">
      <c r="A2554" s="1" t="s">
        <v>7472</v>
      </c>
      <c r="B2554" s="4" t="s">
        <v>7473</v>
      </c>
      <c r="C2554" s="3" t="s">
        <v>7474</v>
      </c>
      <c r="D2554" s="5" t="s">
        <v>9</v>
      </c>
      <c r="E2554" s="6">
        <f>VALUE(2000)</f>
        <v>2000</v>
      </c>
      <c r="F2554" s="5" t="s">
        <v>9</v>
      </c>
    </row>
    <row r="2555" spans="1:6" ht="43.5">
      <c r="A2555" s="1" t="s">
        <v>7475</v>
      </c>
      <c r="B2555" s="4" t="s">
        <v>7476</v>
      </c>
      <c r="C2555" s="3" t="s">
        <v>7477</v>
      </c>
      <c r="D2555" s="5" t="s">
        <v>9</v>
      </c>
      <c r="E2555" s="6">
        <f>VALUE(8145)</f>
        <v>8145</v>
      </c>
      <c r="F2555" s="5" t="s">
        <v>9</v>
      </c>
    </row>
    <row r="2556" spans="1:6" ht="29">
      <c r="A2556" s="1" t="s">
        <v>7478</v>
      </c>
      <c r="B2556" s="4" t="s">
        <v>7479</v>
      </c>
      <c r="C2556" s="3" t="s">
        <v>7480</v>
      </c>
      <c r="D2556" s="5" t="s">
        <v>9</v>
      </c>
      <c r="E2556" s="6">
        <f>VALUE(1000)</f>
        <v>1000</v>
      </c>
      <c r="F2556" s="5" t="s">
        <v>9</v>
      </c>
    </row>
    <row r="2557" spans="1:6" ht="43.5">
      <c r="A2557" s="1" t="s">
        <v>7481</v>
      </c>
      <c r="B2557" s="4" t="s">
        <v>7482</v>
      </c>
      <c r="C2557" s="3" t="s">
        <v>7483</v>
      </c>
      <c r="D2557" s="5" t="s">
        <v>9</v>
      </c>
      <c r="E2557" s="6">
        <f>VALUE(1995)</f>
        <v>1995</v>
      </c>
      <c r="F2557" s="5" t="s">
        <v>9</v>
      </c>
    </row>
    <row r="2558" spans="1:6" ht="29">
      <c r="A2558" s="1" t="s">
        <v>7484</v>
      </c>
      <c r="B2558" s="4" t="s">
        <v>7485</v>
      </c>
      <c r="C2558" s="3" t="s">
        <v>7486</v>
      </c>
      <c r="D2558" s="5" t="s">
        <v>9</v>
      </c>
      <c r="E2558" s="6">
        <f>VALUE(595)</f>
        <v>595</v>
      </c>
      <c r="F2558" s="5" t="s">
        <v>9</v>
      </c>
    </row>
    <row r="2559" spans="1:6" ht="43.5">
      <c r="A2559" s="1" t="s">
        <v>7487</v>
      </c>
      <c r="B2559" s="4" t="s">
        <v>7488</v>
      </c>
      <c r="C2559" s="3" t="s">
        <v>7489</v>
      </c>
      <c r="D2559" s="5" t="s">
        <v>9</v>
      </c>
      <c r="E2559" s="6">
        <f>VALUE(995)</f>
        <v>995</v>
      </c>
      <c r="F2559" s="5" t="s">
        <v>9</v>
      </c>
    </row>
    <row r="2560" spans="1:6" ht="43.5">
      <c r="A2560" s="1" t="s">
        <v>7490</v>
      </c>
      <c r="B2560" s="4" t="s">
        <v>7491</v>
      </c>
      <c r="C2560" s="3" t="s">
        <v>7492</v>
      </c>
      <c r="D2560" s="5" t="s">
        <v>9</v>
      </c>
      <c r="E2560" s="6">
        <f>VALUE(7995)</f>
        <v>7995</v>
      </c>
      <c r="F2560" s="5" t="s">
        <v>9</v>
      </c>
    </row>
    <row r="2561" spans="1:6">
      <c r="A2561" s="1" t="s">
        <v>7493</v>
      </c>
      <c r="B2561" s="4" t="s">
        <v>7494</v>
      </c>
      <c r="C2561" s="3" t="s">
        <v>7495</v>
      </c>
      <c r="D2561" s="5" t="s">
        <v>9</v>
      </c>
      <c r="E2561" s="6">
        <f>VALUE(39995)</f>
        <v>39995</v>
      </c>
      <c r="F2561" s="5" t="s">
        <v>9</v>
      </c>
    </row>
    <row r="2562" spans="1:6">
      <c r="A2562" s="1" t="s">
        <v>7496</v>
      </c>
      <c r="B2562" s="4" t="s">
        <v>7497</v>
      </c>
      <c r="C2562" s="3" t="s">
        <v>7498</v>
      </c>
      <c r="D2562" s="5" t="s">
        <v>9</v>
      </c>
      <c r="E2562" s="6">
        <f>VALUE(8995)</f>
        <v>8995</v>
      </c>
      <c r="F2562" s="5" t="s">
        <v>9</v>
      </c>
    </row>
    <row r="2563" spans="1:6">
      <c r="A2563" s="1" t="s">
        <v>7499</v>
      </c>
      <c r="B2563" s="4" t="s">
        <v>7500</v>
      </c>
      <c r="C2563" s="3" t="s">
        <v>7501</v>
      </c>
      <c r="D2563" s="5" t="s">
        <v>9</v>
      </c>
      <c r="E2563" s="6">
        <f>VALUE(11995)</f>
        <v>11995</v>
      </c>
      <c r="F2563" s="5" t="s">
        <v>9</v>
      </c>
    </row>
    <row r="2564" spans="1:6">
      <c r="A2564" s="1" t="s">
        <v>7502</v>
      </c>
      <c r="B2564" s="4" t="s">
        <v>7503</v>
      </c>
      <c r="C2564" s="3" t="s">
        <v>7504</v>
      </c>
      <c r="D2564" s="5" t="s">
        <v>9</v>
      </c>
      <c r="E2564" s="6">
        <f>VALUE(13995)</f>
        <v>13995</v>
      </c>
      <c r="F2564" s="5" t="s">
        <v>9</v>
      </c>
    </row>
    <row r="2565" spans="1:6">
      <c r="A2565" s="1" t="s">
        <v>7505</v>
      </c>
      <c r="B2565" s="4" t="s">
        <v>7506</v>
      </c>
      <c r="C2565" s="3" t="s">
        <v>7507</v>
      </c>
      <c r="D2565" s="5" t="s">
        <v>9</v>
      </c>
      <c r="E2565" s="6">
        <f>VALUE(4995)</f>
        <v>4995</v>
      </c>
      <c r="F2565" s="5" t="s">
        <v>9</v>
      </c>
    </row>
    <row r="2566" spans="1:6" ht="29">
      <c r="A2566" s="1" t="s">
        <v>7508</v>
      </c>
      <c r="B2566" s="4" t="s">
        <v>7509</v>
      </c>
      <c r="C2566" s="3" t="s">
        <v>7510</v>
      </c>
      <c r="D2566" s="5" t="s">
        <v>9</v>
      </c>
      <c r="E2566" s="6">
        <f>VALUE(1195)</f>
        <v>1195</v>
      </c>
      <c r="F2566" s="5" t="s">
        <v>9</v>
      </c>
    </row>
    <row r="2567" spans="1:6">
      <c r="A2567" s="1" t="s">
        <v>7511</v>
      </c>
      <c r="B2567" s="4" t="s">
        <v>7512</v>
      </c>
      <c r="C2567" s="3" t="s">
        <v>7513</v>
      </c>
      <c r="D2567" s="5" t="s">
        <v>9</v>
      </c>
      <c r="E2567" s="6">
        <f>VALUE(595)</f>
        <v>595</v>
      </c>
      <c r="F2567" s="5" t="s">
        <v>9</v>
      </c>
    </row>
    <row r="2568" spans="1:6" ht="29">
      <c r="A2568" s="1" t="s">
        <v>7514</v>
      </c>
      <c r="B2568" s="4" t="s">
        <v>7515</v>
      </c>
      <c r="C2568" s="3" t="s">
        <v>7516</v>
      </c>
      <c r="D2568" s="5" t="s">
        <v>9</v>
      </c>
      <c r="E2568" s="6">
        <f>VALUE(75)</f>
        <v>75</v>
      </c>
      <c r="F2568" s="5" t="s">
        <v>9</v>
      </c>
    </row>
    <row r="2569" spans="1:6">
      <c r="A2569" s="1" t="s">
        <v>7517</v>
      </c>
      <c r="B2569" s="4" t="s">
        <v>7518</v>
      </c>
      <c r="C2569" s="3" t="s">
        <v>7519</v>
      </c>
      <c r="D2569" s="5" t="s">
        <v>9</v>
      </c>
      <c r="E2569" s="6">
        <f>VALUE(2665)</f>
        <v>2665</v>
      </c>
      <c r="F2569" s="5" t="s">
        <v>9</v>
      </c>
    </row>
    <row r="2570" spans="1:6">
      <c r="A2570" s="1" t="s">
        <v>7520</v>
      </c>
      <c r="B2570" s="4" t="s">
        <v>7521</v>
      </c>
      <c r="C2570" s="3" t="s">
        <v>7522</v>
      </c>
      <c r="D2570" s="5" t="s">
        <v>9</v>
      </c>
      <c r="E2570" s="6">
        <f>VALUE(3275)</f>
        <v>3275</v>
      </c>
      <c r="F2570" s="5" t="s">
        <v>9</v>
      </c>
    </row>
    <row r="2571" spans="1:6" ht="43.5">
      <c r="A2571" s="1" t="s">
        <v>7523</v>
      </c>
      <c r="B2571" s="4" t="s">
        <v>7524</v>
      </c>
      <c r="C2571" s="3" t="s">
        <v>7525</v>
      </c>
      <c r="D2571" s="5" t="s">
        <v>9</v>
      </c>
      <c r="E2571" s="6">
        <f>VALUE(88995)</f>
        <v>88995</v>
      </c>
      <c r="F2571" s="5" t="s">
        <v>9</v>
      </c>
    </row>
    <row r="2572" spans="1:6" ht="58">
      <c r="A2572" s="1" t="s">
        <v>7526</v>
      </c>
      <c r="B2572" s="4" t="s">
        <v>7527</v>
      </c>
      <c r="C2572" s="3" t="s">
        <v>7528</v>
      </c>
      <c r="D2572" s="5" t="s">
        <v>9</v>
      </c>
      <c r="E2572" s="6">
        <f>VALUE(835)</f>
        <v>835</v>
      </c>
      <c r="F2572" s="5" t="s">
        <v>9</v>
      </c>
    </row>
    <row r="2573" spans="1:6" ht="58">
      <c r="A2573" s="1" t="s">
        <v>7529</v>
      </c>
      <c r="B2573" s="4" t="s">
        <v>7530</v>
      </c>
      <c r="C2573" s="3" t="s">
        <v>7531</v>
      </c>
      <c r="D2573" s="5" t="s">
        <v>9</v>
      </c>
      <c r="E2573" s="6">
        <f>VALUE(515)</f>
        <v>515</v>
      </c>
      <c r="F2573" s="5" t="s">
        <v>9</v>
      </c>
    </row>
    <row r="2574" spans="1:6" ht="58">
      <c r="A2574" s="1" t="s">
        <v>7532</v>
      </c>
      <c r="B2574" s="4" t="s">
        <v>7533</v>
      </c>
      <c r="C2574" s="3" t="s">
        <v>7534</v>
      </c>
      <c r="D2574" s="5" t="s">
        <v>9</v>
      </c>
      <c r="E2574" s="6">
        <f>VALUE(725)</f>
        <v>725</v>
      </c>
      <c r="F2574" s="5" t="s">
        <v>9</v>
      </c>
    </row>
    <row r="2575" spans="1:6" ht="58">
      <c r="A2575" s="1" t="s">
        <v>7535</v>
      </c>
      <c r="B2575" s="4" t="s">
        <v>7536</v>
      </c>
      <c r="C2575" s="3" t="s">
        <v>7537</v>
      </c>
      <c r="D2575" s="5" t="s">
        <v>9</v>
      </c>
      <c r="E2575" s="6">
        <f>VALUE(1345)</f>
        <v>1345</v>
      </c>
      <c r="F2575" s="5" t="s">
        <v>9</v>
      </c>
    </row>
    <row r="2576" spans="1:6" ht="58">
      <c r="A2576" s="1" t="s">
        <v>7538</v>
      </c>
      <c r="B2576" s="4" t="s">
        <v>7539</v>
      </c>
      <c r="C2576" s="3" t="s">
        <v>7540</v>
      </c>
      <c r="D2576" s="5" t="s">
        <v>9</v>
      </c>
      <c r="E2576" s="6">
        <f>VALUE(1345)</f>
        <v>1345</v>
      </c>
      <c r="F2576" s="5" t="s">
        <v>9</v>
      </c>
    </row>
    <row r="2577" spans="1:6" ht="43.5">
      <c r="A2577" s="1" t="s">
        <v>7541</v>
      </c>
      <c r="B2577" s="4" t="s">
        <v>7542</v>
      </c>
      <c r="C2577" s="3" t="s">
        <v>7543</v>
      </c>
      <c r="D2577" s="5" t="s">
        <v>9</v>
      </c>
      <c r="E2577" s="6">
        <f>VALUE(645)</f>
        <v>645</v>
      </c>
      <c r="F2577" s="5" t="s">
        <v>9</v>
      </c>
    </row>
    <row r="2578" spans="1:6">
      <c r="A2578" s="1" t="s">
        <v>7544</v>
      </c>
      <c r="B2578" s="4" t="s">
        <v>7545</v>
      </c>
      <c r="C2578" s="3" t="s">
        <v>7546</v>
      </c>
      <c r="D2578" s="5" t="s">
        <v>9</v>
      </c>
      <c r="E2578" s="6">
        <f>VALUE(16495)</f>
        <v>16495</v>
      </c>
      <c r="F2578" s="5" t="s">
        <v>9</v>
      </c>
    </row>
    <row r="2579" spans="1:6" ht="43.5">
      <c r="A2579" s="1" t="s">
        <v>7547</v>
      </c>
      <c r="B2579" s="4" t="s">
        <v>7548</v>
      </c>
      <c r="C2579" s="3" t="s">
        <v>7549</v>
      </c>
      <c r="D2579" s="5" t="s">
        <v>9</v>
      </c>
      <c r="E2579" s="6">
        <f>VALUE(835)</f>
        <v>835</v>
      </c>
      <c r="F2579" s="5" t="s">
        <v>9</v>
      </c>
    </row>
    <row r="2580" spans="1:6">
      <c r="A2580" s="1" t="s">
        <v>7550</v>
      </c>
      <c r="B2580" s="4" t="s">
        <v>7551</v>
      </c>
      <c r="C2580" s="3" t="s">
        <v>7552</v>
      </c>
      <c r="D2580" s="5" t="s">
        <v>9</v>
      </c>
      <c r="E2580" s="6">
        <f>VALUE(21995)</f>
        <v>21995</v>
      </c>
      <c r="F2580" s="5" t="s">
        <v>9</v>
      </c>
    </row>
    <row r="2581" spans="1:6" ht="43.5">
      <c r="A2581" s="1" t="s">
        <v>7553</v>
      </c>
      <c r="B2581" s="4" t="s">
        <v>7554</v>
      </c>
      <c r="C2581" s="3" t="s">
        <v>7555</v>
      </c>
      <c r="D2581" s="5" t="s">
        <v>9</v>
      </c>
      <c r="E2581" s="6">
        <f>VALUE(10955)</f>
        <v>10955</v>
      </c>
      <c r="F2581" s="5" t="s">
        <v>9</v>
      </c>
    </row>
    <row r="2582" spans="1:6" ht="29">
      <c r="A2582" s="1" t="s">
        <v>7556</v>
      </c>
      <c r="B2582" s="4" t="s">
        <v>7557</v>
      </c>
      <c r="C2582" s="3" t="s">
        <v>7558</v>
      </c>
      <c r="D2582" s="5" t="s">
        <v>9</v>
      </c>
      <c r="E2582" s="6">
        <f>VALUE(95805)</f>
        <v>95805</v>
      </c>
      <c r="F2582" s="5" t="s">
        <v>9</v>
      </c>
    </row>
    <row r="2583" spans="1:6" ht="43.5">
      <c r="A2583" s="1" t="s">
        <v>7559</v>
      </c>
      <c r="B2583" s="4" t="s">
        <v>7560</v>
      </c>
      <c r="C2583" s="3" t="s">
        <v>7561</v>
      </c>
      <c r="D2583" s="5" t="s">
        <v>9</v>
      </c>
      <c r="E2583" s="6">
        <f>VALUE(10755)</f>
        <v>10755</v>
      </c>
      <c r="F2583" s="5" t="s">
        <v>9</v>
      </c>
    </row>
    <row r="2584" spans="1:6" ht="29">
      <c r="A2584" s="1" t="s">
        <v>7562</v>
      </c>
      <c r="B2584" s="4" t="s">
        <v>7563</v>
      </c>
      <c r="C2584" s="3" t="s">
        <v>7564</v>
      </c>
      <c r="D2584" s="5" t="s">
        <v>9</v>
      </c>
      <c r="E2584" s="6">
        <f>VALUE(94595)</f>
        <v>94595</v>
      </c>
      <c r="F2584" s="5" t="s">
        <v>9</v>
      </c>
    </row>
    <row r="2585" spans="1:6" ht="29">
      <c r="A2585" s="1" t="s">
        <v>7565</v>
      </c>
      <c r="B2585" s="4" t="s">
        <v>7566</v>
      </c>
      <c r="C2585" s="3" t="s">
        <v>7567</v>
      </c>
      <c r="D2585" s="5" t="s">
        <v>9</v>
      </c>
      <c r="E2585" s="6">
        <f>VALUE(3225)</f>
        <v>3225</v>
      </c>
      <c r="F2585" s="5" t="s">
        <v>9</v>
      </c>
    </row>
    <row r="2586" spans="1:6" ht="58">
      <c r="A2586" s="1" t="s">
        <v>7568</v>
      </c>
      <c r="B2586" s="4" t="s">
        <v>7569</v>
      </c>
      <c r="C2586" s="3" t="s">
        <v>7570</v>
      </c>
      <c r="D2586" s="5" t="s">
        <v>9</v>
      </c>
      <c r="E2586" s="6">
        <f>VALUE(6000)</f>
        <v>6000</v>
      </c>
      <c r="F2586" s="5" t="s">
        <v>9</v>
      </c>
    </row>
    <row r="2587" spans="1:6" ht="58">
      <c r="A2587" s="1" t="s">
        <v>7571</v>
      </c>
      <c r="B2587" s="4" t="s">
        <v>7572</v>
      </c>
      <c r="C2587" s="3" t="s">
        <v>7573</v>
      </c>
      <c r="D2587" s="5" t="s">
        <v>9</v>
      </c>
      <c r="E2587" s="6">
        <f>VALUE(7000)</f>
        <v>7000</v>
      </c>
      <c r="F2587" s="5" t="s">
        <v>9</v>
      </c>
    </row>
    <row r="2588" spans="1:6" ht="43.5">
      <c r="A2588" s="1" t="s">
        <v>7574</v>
      </c>
      <c r="B2588" s="4" t="s">
        <v>7575</v>
      </c>
      <c r="C2588" s="3" t="s">
        <v>7576</v>
      </c>
      <c r="D2588" s="5" t="s">
        <v>9</v>
      </c>
      <c r="E2588" s="6">
        <f>VALUE(5000)</f>
        <v>5000</v>
      </c>
      <c r="F2588" s="5" t="s">
        <v>9</v>
      </c>
    </row>
    <row r="2589" spans="1:6" ht="58">
      <c r="A2589" s="1" t="s">
        <v>7577</v>
      </c>
      <c r="B2589" s="4" t="s">
        <v>7578</v>
      </c>
      <c r="C2589" s="3" t="s">
        <v>7579</v>
      </c>
      <c r="D2589" s="5" t="s">
        <v>9</v>
      </c>
      <c r="E2589" s="6">
        <f>VALUE(3750)</f>
        <v>3750</v>
      </c>
      <c r="F2589" s="5" t="s">
        <v>9</v>
      </c>
    </row>
    <row r="2590" spans="1:6">
      <c r="A2590" s="1" t="s">
        <v>7580</v>
      </c>
      <c r="B2590" s="4" t="s">
        <v>7581</v>
      </c>
      <c r="C2590" s="3" t="s">
        <v>7582</v>
      </c>
      <c r="D2590" s="5" t="s">
        <v>9</v>
      </c>
      <c r="E2590" s="6">
        <f>VALUE(16495)</f>
        <v>16495</v>
      </c>
      <c r="F2590" s="5" t="s">
        <v>9</v>
      </c>
    </row>
    <row r="2591" spans="1:6" ht="43.5">
      <c r="A2591" s="1" t="s">
        <v>7583</v>
      </c>
      <c r="B2591" s="4" t="s">
        <v>7584</v>
      </c>
      <c r="C2591" s="3" t="s">
        <v>7585</v>
      </c>
      <c r="D2591" s="5" t="s">
        <v>9</v>
      </c>
      <c r="E2591" s="6">
        <f>VALUE(625)</f>
        <v>625</v>
      </c>
      <c r="F2591" s="5" t="s">
        <v>9</v>
      </c>
    </row>
    <row r="2592" spans="1:6">
      <c r="A2592" s="1" t="s">
        <v>7586</v>
      </c>
      <c r="B2592" s="4" t="s">
        <v>7587</v>
      </c>
      <c r="C2592" s="3" t="s">
        <v>7588</v>
      </c>
      <c r="D2592" s="5" t="s">
        <v>9</v>
      </c>
      <c r="E2592" s="6">
        <f>VALUE(2995)</f>
        <v>2995</v>
      </c>
      <c r="F2592" s="5" t="s">
        <v>9</v>
      </c>
    </row>
    <row r="2593" spans="1:6" ht="58">
      <c r="A2593" s="1" t="s">
        <v>7589</v>
      </c>
      <c r="B2593" s="4" t="s">
        <v>7590</v>
      </c>
      <c r="C2593" s="3" t="s">
        <v>7591</v>
      </c>
      <c r="D2593" s="5" t="s">
        <v>8</v>
      </c>
      <c r="E2593" s="6">
        <f>VALUE(235)</f>
        <v>235</v>
      </c>
      <c r="F2593" s="5" t="s">
        <v>9</v>
      </c>
    </row>
    <row r="2594" spans="1:6" ht="43.5">
      <c r="A2594" s="1" t="s">
        <v>7592</v>
      </c>
      <c r="B2594" s="4" t="s">
        <v>7593</v>
      </c>
      <c r="C2594" s="3" t="s">
        <v>7594</v>
      </c>
      <c r="D2594" s="5" t="s">
        <v>8</v>
      </c>
      <c r="E2594" s="6">
        <f>VALUE(835)</f>
        <v>835</v>
      </c>
      <c r="F2594" s="5" t="s">
        <v>9</v>
      </c>
    </row>
    <row r="2595" spans="1:6" ht="58">
      <c r="A2595" s="1" t="s">
        <v>7595</v>
      </c>
      <c r="B2595" s="4" t="s">
        <v>7596</v>
      </c>
      <c r="C2595" s="3" t="s">
        <v>7597</v>
      </c>
      <c r="D2595" s="5" t="s">
        <v>8</v>
      </c>
      <c r="E2595" s="6">
        <f>VALUE(2075)</f>
        <v>2075</v>
      </c>
      <c r="F2595" s="5" t="s">
        <v>9</v>
      </c>
    </row>
    <row r="2596" spans="1:6" ht="58">
      <c r="A2596" s="1" t="s">
        <v>7598</v>
      </c>
      <c r="B2596" s="4" t="s">
        <v>7599</v>
      </c>
      <c r="C2596" s="3" t="s">
        <v>7600</v>
      </c>
      <c r="D2596" s="5" t="s">
        <v>8</v>
      </c>
      <c r="E2596" s="6">
        <f>VALUE(1145)</f>
        <v>1145</v>
      </c>
      <c r="F2596" s="5" t="s">
        <v>9</v>
      </c>
    </row>
    <row r="2597" spans="1:6" ht="58">
      <c r="A2597" s="1" t="s">
        <v>7601</v>
      </c>
      <c r="B2597" s="4" t="s">
        <v>7602</v>
      </c>
      <c r="C2597" s="3" t="s">
        <v>7603</v>
      </c>
      <c r="D2597" s="5" t="s">
        <v>8</v>
      </c>
      <c r="E2597" s="6">
        <f>VALUE(2965)</f>
        <v>2965</v>
      </c>
      <c r="F2597" s="5" t="s">
        <v>9</v>
      </c>
    </row>
    <row r="2598" spans="1:6" ht="58">
      <c r="A2598" s="1" t="s">
        <v>7604</v>
      </c>
      <c r="B2598" s="4" t="s">
        <v>7605</v>
      </c>
      <c r="C2598" s="3" t="s">
        <v>7606</v>
      </c>
      <c r="D2598" s="5" t="s">
        <v>9</v>
      </c>
      <c r="E2598" s="6">
        <f>VALUE(36295)</f>
        <v>36295</v>
      </c>
      <c r="F2598" s="5" t="s">
        <v>9</v>
      </c>
    </row>
    <row r="2599" spans="1:6" ht="58">
      <c r="A2599" s="1" t="s">
        <v>7607</v>
      </c>
      <c r="B2599" s="4" t="s">
        <v>7608</v>
      </c>
      <c r="C2599" s="3" t="s">
        <v>7609</v>
      </c>
      <c r="D2599" s="5" t="s">
        <v>9</v>
      </c>
      <c r="E2599" s="6">
        <f>VALUE(36295)</f>
        <v>36295</v>
      </c>
      <c r="F2599" s="5" t="s">
        <v>9</v>
      </c>
    </row>
    <row r="2600" spans="1:6" ht="43.5">
      <c r="A2600" s="1" t="s">
        <v>7610</v>
      </c>
      <c r="B2600" s="4" t="s">
        <v>7611</v>
      </c>
      <c r="C2600" s="3" t="s">
        <v>7612</v>
      </c>
      <c r="D2600" s="5" t="s">
        <v>9</v>
      </c>
      <c r="E2600" s="6">
        <f>VALUE(18695)</f>
        <v>18695</v>
      </c>
      <c r="F2600" s="5" t="s">
        <v>9</v>
      </c>
    </row>
    <row r="2601" spans="1:6" ht="43.5">
      <c r="A2601" s="1" t="s">
        <v>7613</v>
      </c>
      <c r="B2601" s="4" t="s">
        <v>7614</v>
      </c>
      <c r="C2601" s="3" t="s">
        <v>7615</v>
      </c>
      <c r="D2601" s="5" t="s">
        <v>9</v>
      </c>
      <c r="E2601" s="6">
        <f>VALUE(13195)</f>
        <v>13195</v>
      </c>
      <c r="F2601" s="5" t="s">
        <v>9</v>
      </c>
    </row>
    <row r="2602" spans="1:6" ht="58">
      <c r="A2602" s="1" t="s">
        <v>7616</v>
      </c>
      <c r="B2602" s="4" t="s">
        <v>7617</v>
      </c>
      <c r="C2602" s="3" t="s">
        <v>7618</v>
      </c>
      <c r="D2602" s="5" t="s">
        <v>9</v>
      </c>
      <c r="E2602" s="6">
        <f>VALUE(20895)</f>
        <v>20895</v>
      </c>
      <c r="F2602" s="5" t="s">
        <v>9</v>
      </c>
    </row>
    <row r="2603" spans="1:6" ht="29">
      <c r="A2603" s="1" t="s">
        <v>7619</v>
      </c>
      <c r="B2603" s="4" t="s">
        <v>7620</v>
      </c>
      <c r="C2603" s="3" t="s">
        <v>7621</v>
      </c>
      <c r="D2603" s="5" t="s">
        <v>8</v>
      </c>
      <c r="E2603" s="6">
        <f>VALUE(595)</f>
        <v>595</v>
      </c>
      <c r="F2603" s="5" t="s">
        <v>9</v>
      </c>
    </row>
    <row r="2604" spans="1:6" ht="29">
      <c r="A2604" s="1" t="s">
        <v>7622</v>
      </c>
      <c r="B2604" s="4" t="s">
        <v>7623</v>
      </c>
      <c r="C2604" s="3" t="s">
        <v>7624</v>
      </c>
      <c r="D2604" s="5" t="s">
        <v>8</v>
      </c>
      <c r="E2604" s="6">
        <f>VALUE(1255)</f>
        <v>1255</v>
      </c>
      <c r="F2604" s="5" t="s">
        <v>9</v>
      </c>
    </row>
    <row r="2605" spans="1:6" ht="29">
      <c r="A2605" s="1" t="s">
        <v>7625</v>
      </c>
      <c r="B2605" s="4" t="s">
        <v>7626</v>
      </c>
      <c r="C2605" s="3" t="s">
        <v>7627</v>
      </c>
      <c r="D2605" s="5" t="s">
        <v>8</v>
      </c>
      <c r="E2605" s="6">
        <f>VALUE(905)</f>
        <v>905</v>
      </c>
      <c r="F2605" s="5" t="s">
        <v>9</v>
      </c>
    </row>
    <row r="2606" spans="1:6" ht="29">
      <c r="A2606" s="1" t="s">
        <v>7628</v>
      </c>
      <c r="B2606" s="4" t="s">
        <v>7629</v>
      </c>
      <c r="C2606" s="3" t="s">
        <v>7630</v>
      </c>
      <c r="D2606" s="5" t="s">
        <v>8</v>
      </c>
      <c r="E2606" s="6">
        <f>VALUE(1825)</f>
        <v>1825</v>
      </c>
      <c r="F2606" s="5" t="s">
        <v>9</v>
      </c>
    </row>
    <row r="2607" spans="1:6" ht="58">
      <c r="A2607" s="1" t="s">
        <v>7631</v>
      </c>
      <c r="B2607" s="4" t="s">
        <v>7632</v>
      </c>
      <c r="C2607" s="3" t="s">
        <v>7633</v>
      </c>
      <c r="D2607" s="5" t="s">
        <v>8</v>
      </c>
      <c r="E2607" s="6">
        <f>VALUE(465)</f>
        <v>465</v>
      </c>
      <c r="F2607" s="5" t="s">
        <v>9</v>
      </c>
    </row>
    <row r="2608" spans="1:6" ht="72.5">
      <c r="A2608" s="1" t="s">
        <v>7634</v>
      </c>
      <c r="B2608" s="4" t="s">
        <v>7635</v>
      </c>
      <c r="C2608" s="3" t="s">
        <v>7636</v>
      </c>
      <c r="D2608" s="5" t="s">
        <v>8</v>
      </c>
      <c r="E2608" s="6">
        <f>VALUE(5095)</f>
        <v>5095</v>
      </c>
      <c r="F2608" s="5" t="s">
        <v>9</v>
      </c>
    </row>
    <row r="2609" spans="1:6" ht="58">
      <c r="A2609" s="1" t="s">
        <v>7637</v>
      </c>
      <c r="B2609" s="4" t="s">
        <v>7638</v>
      </c>
      <c r="C2609" s="3" t="s">
        <v>7639</v>
      </c>
      <c r="D2609" s="5" t="s">
        <v>8</v>
      </c>
      <c r="E2609" s="6">
        <f>VALUE(2185)</f>
        <v>2185</v>
      </c>
      <c r="F2609" s="5" t="s">
        <v>9</v>
      </c>
    </row>
    <row r="2610" spans="1:6" ht="58">
      <c r="A2610" s="1" t="s">
        <v>7640</v>
      </c>
      <c r="B2610" s="4" t="s">
        <v>7641</v>
      </c>
      <c r="C2610" s="3" t="s">
        <v>7642</v>
      </c>
      <c r="D2610" s="5" t="s">
        <v>8</v>
      </c>
      <c r="E2610" s="6">
        <f>VALUE(5405)</f>
        <v>5405</v>
      </c>
      <c r="F2610" s="5" t="s">
        <v>9</v>
      </c>
    </row>
    <row r="2611" spans="1:6" ht="58">
      <c r="A2611" s="1" t="s">
        <v>7643</v>
      </c>
      <c r="B2611" s="4" t="s">
        <v>7644</v>
      </c>
      <c r="C2611" s="3" t="s">
        <v>7645</v>
      </c>
      <c r="D2611" s="5" t="s">
        <v>8</v>
      </c>
      <c r="E2611" s="6">
        <f>VALUE(3115)</f>
        <v>3115</v>
      </c>
      <c r="F2611" s="5" t="s">
        <v>9</v>
      </c>
    </row>
    <row r="2612" spans="1:6" ht="58">
      <c r="A2612" s="1" t="s">
        <v>7646</v>
      </c>
      <c r="B2612" s="4" t="s">
        <v>7647</v>
      </c>
      <c r="C2612" s="3" t="s">
        <v>7648</v>
      </c>
      <c r="D2612" s="5" t="s">
        <v>8</v>
      </c>
      <c r="E2612" s="6">
        <f>VALUE(7595)</f>
        <v>7595</v>
      </c>
      <c r="F2612" s="5" t="s">
        <v>9</v>
      </c>
    </row>
    <row r="2613" spans="1:6" ht="43.5">
      <c r="A2613" s="1" t="s">
        <v>7649</v>
      </c>
      <c r="B2613" s="4" t="s">
        <v>7650</v>
      </c>
      <c r="C2613" s="3" t="s">
        <v>7651</v>
      </c>
      <c r="D2613" s="5" t="s">
        <v>8</v>
      </c>
      <c r="E2613" s="6">
        <f>VALUE(4635)</f>
        <v>4635</v>
      </c>
      <c r="F2613" s="5" t="s">
        <v>9</v>
      </c>
    </row>
    <row r="2614" spans="1:6" ht="43.5">
      <c r="A2614" s="1" t="s">
        <v>7652</v>
      </c>
      <c r="B2614" s="4" t="s">
        <v>7653</v>
      </c>
      <c r="C2614" s="3" t="s">
        <v>7654</v>
      </c>
      <c r="D2614" s="5" t="s">
        <v>8</v>
      </c>
      <c r="E2614" s="6">
        <f>VALUE(1725)</f>
        <v>1725</v>
      </c>
      <c r="F2614" s="5" t="s">
        <v>9</v>
      </c>
    </row>
    <row r="2615" spans="1:6" ht="43.5">
      <c r="A2615" s="1" t="s">
        <v>7655</v>
      </c>
      <c r="B2615" s="4" t="s">
        <v>7656</v>
      </c>
      <c r="C2615" s="3" t="s">
        <v>7657</v>
      </c>
      <c r="D2615" s="5" t="s">
        <v>8</v>
      </c>
      <c r="E2615" s="6">
        <f>VALUE(3225)</f>
        <v>3225</v>
      </c>
      <c r="F2615" s="5" t="s">
        <v>9</v>
      </c>
    </row>
    <row r="2616" spans="1:6" ht="43.5">
      <c r="A2616" s="1" t="s">
        <v>7658</v>
      </c>
      <c r="B2616" s="4" t="s">
        <v>7659</v>
      </c>
      <c r="C2616" s="3" t="s">
        <v>7660</v>
      </c>
      <c r="D2616" s="5" t="s">
        <v>8</v>
      </c>
      <c r="E2616" s="6">
        <f>VALUE(2655)</f>
        <v>2655</v>
      </c>
      <c r="F2616" s="5" t="s">
        <v>9</v>
      </c>
    </row>
    <row r="2617" spans="1:6" ht="43.5">
      <c r="A2617" s="1" t="s">
        <v>7661</v>
      </c>
      <c r="B2617" s="4" t="s">
        <v>7662</v>
      </c>
      <c r="C2617" s="3" t="s">
        <v>7663</v>
      </c>
      <c r="D2617" s="5" t="s">
        <v>8</v>
      </c>
      <c r="E2617" s="6">
        <f>VALUE(4475)</f>
        <v>4475</v>
      </c>
      <c r="F2617" s="5" t="s">
        <v>9</v>
      </c>
    </row>
    <row r="2618" spans="1:6" ht="58">
      <c r="A2618" s="1" t="s">
        <v>7664</v>
      </c>
      <c r="B2618" s="4" t="s">
        <v>7665</v>
      </c>
      <c r="C2618" s="3" t="s">
        <v>7666</v>
      </c>
      <c r="D2618" s="5" t="s">
        <v>8</v>
      </c>
      <c r="E2618" s="6">
        <f>VALUE(935)</f>
        <v>935</v>
      </c>
      <c r="F2618" s="5" t="s">
        <v>9</v>
      </c>
    </row>
    <row r="2619" spans="1:6" ht="58">
      <c r="A2619" s="1" t="s">
        <v>7667</v>
      </c>
      <c r="B2619" s="4" t="s">
        <v>7668</v>
      </c>
      <c r="C2619" s="3" t="s">
        <v>7669</v>
      </c>
      <c r="D2619" s="5" t="s">
        <v>8</v>
      </c>
      <c r="E2619" s="6">
        <f>VALUE(7695)</f>
        <v>7695</v>
      </c>
      <c r="F2619" s="5" t="s">
        <v>9</v>
      </c>
    </row>
    <row r="2620" spans="1:6" ht="43.5">
      <c r="A2620" s="1" t="s">
        <v>7670</v>
      </c>
      <c r="B2620" s="4" t="s">
        <v>7671</v>
      </c>
      <c r="C2620" s="3" t="s">
        <v>7672</v>
      </c>
      <c r="D2620" s="5" t="s">
        <v>8</v>
      </c>
      <c r="E2620" s="6">
        <f>VALUE(3275)</f>
        <v>3275</v>
      </c>
      <c r="F2620" s="5" t="s">
        <v>9</v>
      </c>
    </row>
    <row r="2621" spans="1:6" ht="58">
      <c r="A2621" s="1" t="s">
        <v>7673</v>
      </c>
      <c r="B2621" s="4" t="s">
        <v>7674</v>
      </c>
      <c r="C2621" s="3" t="s">
        <v>7675</v>
      </c>
      <c r="D2621" s="5" t="s">
        <v>8</v>
      </c>
      <c r="E2621" s="6">
        <f>VALUE(9355)</f>
        <v>9355</v>
      </c>
      <c r="F2621" s="5" t="s">
        <v>9</v>
      </c>
    </row>
    <row r="2622" spans="1:6" ht="58">
      <c r="A2622" s="1" t="s">
        <v>7676</v>
      </c>
      <c r="B2622" s="4" t="s">
        <v>7677</v>
      </c>
      <c r="C2622" s="3" t="s">
        <v>7678</v>
      </c>
      <c r="D2622" s="5" t="s">
        <v>8</v>
      </c>
      <c r="E2622" s="6">
        <f>VALUE(4465)</f>
        <v>4465</v>
      </c>
      <c r="F2622" s="5" t="s">
        <v>9</v>
      </c>
    </row>
    <row r="2623" spans="1:6" ht="58">
      <c r="A2623" s="1" t="s">
        <v>7679</v>
      </c>
      <c r="B2623" s="4" t="s">
        <v>7680</v>
      </c>
      <c r="C2623" s="3" t="s">
        <v>7681</v>
      </c>
      <c r="D2623" s="5" t="s">
        <v>8</v>
      </c>
      <c r="E2623" s="6">
        <f>VALUE(12475)</f>
        <v>12475</v>
      </c>
      <c r="F2623" s="5" t="s">
        <v>9</v>
      </c>
    </row>
    <row r="2624" spans="1:6" ht="58">
      <c r="A2624" s="1" t="s">
        <v>7682</v>
      </c>
      <c r="B2624" s="4" t="s">
        <v>7683</v>
      </c>
      <c r="C2624" s="3" t="s">
        <v>7684</v>
      </c>
      <c r="D2624" s="5" t="s">
        <v>9</v>
      </c>
      <c r="E2624" s="6">
        <f>VALUE(115355)</f>
        <v>115355</v>
      </c>
      <c r="F2624" s="5" t="s">
        <v>9</v>
      </c>
    </row>
    <row r="2625" spans="1:6" ht="58">
      <c r="A2625" s="1" t="s">
        <v>7685</v>
      </c>
      <c r="B2625" s="4" t="s">
        <v>7686</v>
      </c>
      <c r="C2625" s="3" t="s">
        <v>7687</v>
      </c>
      <c r="D2625" s="5" t="s">
        <v>9</v>
      </c>
      <c r="E2625" s="6">
        <f>VALUE(115355)</f>
        <v>115355</v>
      </c>
      <c r="F2625" s="5" t="s">
        <v>9</v>
      </c>
    </row>
    <row r="2626" spans="1:6" ht="43.5">
      <c r="A2626" s="1" t="s">
        <v>7688</v>
      </c>
      <c r="B2626" s="4" t="s">
        <v>7689</v>
      </c>
      <c r="C2626" s="3" t="s">
        <v>7690</v>
      </c>
      <c r="D2626" s="5" t="s">
        <v>9</v>
      </c>
      <c r="E2626" s="6">
        <f>VALUE(41195)</f>
        <v>41195</v>
      </c>
      <c r="F2626" s="5" t="s">
        <v>9</v>
      </c>
    </row>
    <row r="2627" spans="1:6" ht="43.5">
      <c r="A2627" s="1" t="s">
        <v>7691</v>
      </c>
      <c r="B2627" s="4" t="s">
        <v>7692</v>
      </c>
      <c r="C2627" s="3" t="s">
        <v>7693</v>
      </c>
      <c r="D2627" s="5" t="s">
        <v>9</v>
      </c>
      <c r="E2627" s="6">
        <f>VALUE(20595)</f>
        <v>20595</v>
      </c>
      <c r="F2627" s="5" t="s">
        <v>9</v>
      </c>
    </row>
    <row r="2628" spans="1:6" ht="43.5">
      <c r="A2628" s="1" t="s">
        <v>7694</v>
      </c>
      <c r="B2628" s="4" t="s">
        <v>7695</v>
      </c>
      <c r="C2628" s="3" t="s">
        <v>7696</v>
      </c>
      <c r="D2628" s="5" t="s">
        <v>9</v>
      </c>
      <c r="E2628" s="6">
        <f>VALUE(48405)</f>
        <v>48405</v>
      </c>
      <c r="F2628" s="5" t="s">
        <v>9</v>
      </c>
    </row>
    <row r="2629" spans="1:6" ht="43.5">
      <c r="A2629" s="1" t="s">
        <v>7697</v>
      </c>
      <c r="B2629" s="4" t="s">
        <v>7698</v>
      </c>
      <c r="C2629" s="3" t="s">
        <v>7699</v>
      </c>
      <c r="D2629" s="5" t="s">
        <v>9</v>
      </c>
      <c r="E2629" s="6">
        <f>VALUE(41195)</f>
        <v>41195</v>
      </c>
      <c r="F2629" s="5" t="s">
        <v>9</v>
      </c>
    </row>
    <row r="2630" spans="1:6" ht="58">
      <c r="A2630" s="1" t="s">
        <v>7700</v>
      </c>
      <c r="B2630" s="4" t="s">
        <v>7701</v>
      </c>
      <c r="C2630" s="3" t="s">
        <v>7702</v>
      </c>
      <c r="D2630" s="5" t="s">
        <v>9</v>
      </c>
      <c r="E2630" s="6">
        <f>VALUE(56645)</f>
        <v>56645</v>
      </c>
      <c r="F2630" s="5" t="s">
        <v>9</v>
      </c>
    </row>
    <row r="2631" spans="1:6" ht="29">
      <c r="A2631" s="1" t="s">
        <v>7703</v>
      </c>
      <c r="B2631" s="4" t="s">
        <v>7704</v>
      </c>
      <c r="C2631" s="3" t="s">
        <v>7705</v>
      </c>
      <c r="D2631" s="5" t="s">
        <v>8</v>
      </c>
      <c r="E2631" s="6">
        <f>VALUE(6765)</f>
        <v>6765</v>
      </c>
      <c r="F2631" s="5" t="s">
        <v>9</v>
      </c>
    </row>
    <row r="2632" spans="1:6" ht="29">
      <c r="A2632" s="1" t="s">
        <v>7706</v>
      </c>
      <c r="B2632" s="4" t="s">
        <v>7707</v>
      </c>
      <c r="C2632" s="3" t="s">
        <v>7708</v>
      </c>
      <c r="D2632" s="5" t="s">
        <v>8</v>
      </c>
      <c r="E2632" s="6">
        <f>VALUE(2345)</f>
        <v>2345</v>
      </c>
      <c r="F2632" s="5" t="s">
        <v>9</v>
      </c>
    </row>
    <row r="2633" spans="1:6" ht="29">
      <c r="A2633" s="1" t="s">
        <v>7709</v>
      </c>
      <c r="B2633" s="4" t="s">
        <v>7710</v>
      </c>
      <c r="C2633" s="3" t="s">
        <v>7711</v>
      </c>
      <c r="D2633" s="5" t="s">
        <v>8</v>
      </c>
      <c r="E2633" s="6">
        <f>VALUE(6085)</f>
        <v>6085</v>
      </c>
      <c r="F2633" s="5" t="s">
        <v>9</v>
      </c>
    </row>
    <row r="2634" spans="1:6" ht="29">
      <c r="A2634" s="1" t="s">
        <v>7712</v>
      </c>
      <c r="B2634" s="4" t="s">
        <v>7713</v>
      </c>
      <c r="C2634" s="3" t="s">
        <v>7714</v>
      </c>
      <c r="D2634" s="5" t="s">
        <v>8</v>
      </c>
      <c r="E2634" s="6">
        <f>VALUE(3535)</f>
        <v>3535</v>
      </c>
      <c r="F2634" s="5" t="s">
        <v>9</v>
      </c>
    </row>
    <row r="2635" spans="1:6" ht="29">
      <c r="A2635" s="1" t="s">
        <v>7715</v>
      </c>
      <c r="B2635" s="4" t="s">
        <v>7716</v>
      </c>
      <c r="C2635" s="3" t="s">
        <v>7717</v>
      </c>
      <c r="D2635" s="5" t="s">
        <v>8</v>
      </c>
      <c r="E2635" s="6">
        <f>VALUE(8005)</f>
        <v>8005</v>
      </c>
      <c r="F2635" s="5" t="s">
        <v>9</v>
      </c>
    </row>
    <row r="2636" spans="1:6" ht="58">
      <c r="A2636" s="1" t="s">
        <v>7718</v>
      </c>
      <c r="B2636" s="4" t="s">
        <v>7719</v>
      </c>
      <c r="C2636" s="3" t="s">
        <v>7720</v>
      </c>
      <c r="D2636" s="5" t="s">
        <v>9</v>
      </c>
      <c r="E2636" s="6">
        <f>VALUE(50950)</f>
        <v>50950</v>
      </c>
      <c r="F2636" s="5" t="s">
        <v>9</v>
      </c>
    </row>
    <row r="2637" spans="1:6" ht="58">
      <c r="A2637" s="1" t="s">
        <v>7721</v>
      </c>
      <c r="B2637" s="4" t="s">
        <v>7722</v>
      </c>
      <c r="C2637" s="3" t="s">
        <v>7723</v>
      </c>
      <c r="D2637" s="5" t="s">
        <v>9</v>
      </c>
      <c r="E2637" s="6">
        <f>VALUE(7275)</f>
        <v>7275</v>
      </c>
      <c r="F2637" s="5" t="s">
        <v>9</v>
      </c>
    </row>
    <row r="2638" spans="1:6" ht="58">
      <c r="A2638" s="1" t="s">
        <v>7724</v>
      </c>
      <c r="B2638" s="4" t="s">
        <v>7725</v>
      </c>
      <c r="C2638" s="3" t="s">
        <v>7726</v>
      </c>
      <c r="D2638" s="5" t="s">
        <v>9</v>
      </c>
      <c r="E2638" s="6">
        <f>VALUE(356725)</f>
        <v>356725</v>
      </c>
      <c r="F2638" s="5" t="s">
        <v>9</v>
      </c>
    </row>
    <row r="2639" spans="1:6" ht="58">
      <c r="A2639" s="1" t="s">
        <v>7727</v>
      </c>
      <c r="B2639" s="4" t="s">
        <v>7728</v>
      </c>
      <c r="C2639" s="3" t="s">
        <v>7729</v>
      </c>
      <c r="D2639" s="5" t="s">
        <v>9</v>
      </c>
      <c r="E2639" s="6">
        <f>VALUE(3650)</f>
        <v>3650</v>
      </c>
      <c r="F2639" s="5" t="s">
        <v>9</v>
      </c>
    </row>
    <row r="2640" spans="1:6" ht="43.5">
      <c r="A2640" s="1" t="s">
        <v>7730</v>
      </c>
      <c r="B2640" s="4" t="s">
        <v>7731</v>
      </c>
      <c r="C2640" s="3" t="s">
        <v>7732</v>
      </c>
      <c r="D2640" s="5" t="s">
        <v>9</v>
      </c>
      <c r="E2640" s="6">
        <f t="shared" ref="E2640:E2662" si="3">VALUE(0)</f>
        <v>0</v>
      </c>
      <c r="F2640" s="5" t="s">
        <v>9</v>
      </c>
    </row>
    <row r="2641" spans="1:6" ht="43.5">
      <c r="A2641" s="1" t="s">
        <v>7733</v>
      </c>
      <c r="B2641" s="4" t="s">
        <v>7734</v>
      </c>
      <c r="C2641" s="3" t="s">
        <v>7735</v>
      </c>
      <c r="D2641" s="5" t="s">
        <v>9</v>
      </c>
      <c r="E2641" s="6">
        <f t="shared" si="3"/>
        <v>0</v>
      </c>
      <c r="F2641" s="5" t="s">
        <v>9</v>
      </c>
    </row>
    <row r="2642" spans="1:6" ht="43.5">
      <c r="A2642" s="1" t="s">
        <v>7736</v>
      </c>
      <c r="B2642" s="4" t="s">
        <v>7737</v>
      </c>
      <c r="C2642" s="3" t="s">
        <v>7738</v>
      </c>
      <c r="D2642" s="5" t="s">
        <v>9</v>
      </c>
      <c r="E2642" s="6">
        <f t="shared" si="3"/>
        <v>0</v>
      </c>
      <c r="F2642" s="5" t="s">
        <v>9</v>
      </c>
    </row>
    <row r="2643" spans="1:6" ht="43.5">
      <c r="A2643" s="1" t="s">
        <v>7739</v>
      </c>
      <c r="B2643" s="4" t="s">
        <v>7740</v>
      </c>
      <c r="C2643" s="3" t="s">
        <v>7741</v>
      </c>
      <c r="D2643" s="5" t="s">
        <v>9</v>
      </c>
      <c r="E2643" s="6">
        <f t="shared" si="3"/>
        <v>0</v>
      </c>
      <c r="F2643" s="5" t="s">
        <v>9</v>
      </c>
    </row>
    <row r="2644" spans="1:6" ht="43.5">
      <c r="A2644" s="1" t="s">
        <v>7742</v>
      </c>
      <c r="B2644" s="4" t="s">
        <v>7743</v>
      </c>
      <c r="C2644" s="3" t="s">
        <v>7744</v>
      </c>
      <c r="D2644" s="5" t="s">
        <v>9</v>
      </c>
      <c r="E2644" s="6">
        <f t="shared" si="3"/>
        <v>0</v>
      </c>
      <c r="F2644" s="5" t="s">
        <v>9</v>
      </c>
    </row>
    <row r="2645" spans="1:6" ht="43.5">
      <c r="A2645" s="1" t="s">
        <v>7745</v>
      </c>
      <c r="B2645" s="4" t="s">
        <v>7746</v>
      </c>
      <c r="C2645" s="3" t="s">
        <v>7747</v>
      </c>
      <c r="D2645" s="5" t="s">
        <v>9</v>
      </c>
      <c r="E2645" s="6">
        <f t="shared" si="3"/>
        <v>0</v>
      </c>
      <c r="F2645" s="5" t="s">
        <v>9</v>
      </c>
    </row>
    <row r="2646" spans="1:6" ht="43.5">
      <c r="A2646" s="1" t="s">
        <v>7748</v>
      </c>
      <c r="B2646" s="4" t="s">
        <v>7749</v>
      </c>
      <c r="C2646" s="3" t="s">
        <v>7750</v>
      </c>
      <c r="D2646" s="5" t="s">
        <v>9</v>
      </c>
      <c r="E2646" s="6">
        <f t="shared" si="3"/>
        <v>0</v>
      </c>
      <c r="F2646" s="5" t="s">
        <v>9</v>
      </c>
    </row>
    <row r="2647" spans="1:6" ht="43.5">
      <c r="A2647" s="1" t="s">
        <v>7751</v>
      </c>
      <c r="B2647" s="4" t="s">
        <v>7752</v>
      </c>
      <c r="C2647" s="3" t="s">
        <v>7753</v>
      </c>
      <c r="D2647" s="5" t="s">
        <v>9</v>
      </c>
      <c r="E2647" s="6">
        <f t="shared" si="3"/>
        <v>0</v>
      </c>
      <c r="F2647" s="5" t="s">
        <v>9</v>
      </c>
    </row>
    <row r="2648" spans="1:6" ht="29">
      <c r="A2648" s="1" t="s">
        <v>7754</v>
      </c>
      <c r="B2648" s="4" t="s">
        <v>7755</v>
      </c>
      <c r="C2648" s="3" t="s">
        <v>7756</v>
      </c>
      <c r="D2648" s="5" t="s">
        <v>9</v>
      </c>
      <c r="E2648" s="6">
        <f t="shared" si="3"/>
        <v>0</v>
      </c>
      <c r="F2648" s="5" t="s">
        <v>9</v>
      </c>
    </row>
    <row r="2649" spans="1:6" ht="29">
      <c r="A2649" s="1" t="s">
        <v>7757</v>
      </c>
      <c r="B2649" s="4" t="s">
        <v>7758</v>
      </c>
      <c r="C2649" s="3" t="s">
        <v>7759</v>
      </c>
      <c r="D2649" s="5" t="s">
        <v>9</v>
      </c>
      <c r="E2649" s="6">
        <f t="shared" si="3"/>
        <v>0</v>
      </c>
      <c r="F2649" s="5" t="s">
        <v>9</v>
      </c>
    </row>
    <row r="2650" spans="1:6" ht="29">
      <c r="A2650" s="1" t="s">
        <v>7760</v>
      </c>
      <c r="B2650" s="4" t="s">
        <v>7761</v>
      </c>
      <c r="C2650" s="3" t="s">
        <v>7762</v>
      </c>
      <c r="D2650" s="5" t="s">
        <v>9</v>
      </c>
      <c r="E2650" s="6">
        <f t="shared" si="3"/>
        <v>0</v>
      </c>
      <c r="F2650" s="5" t="s">
        <v>9</v>
      </c>
    </row>
    <row r="2651" spans="1:6" ht="29">
      <c r="A2651" s="1" t="s">
        <v>7763</v>
      </c>
      <c r="B2651" s="4" t="s">
        <v>7764</v>
      </c>
      <c r="C2651" s="3" t="s">
        <v>7765</v>
      </c>
      <c r="D2651" s="5" t="s">
        <v>9</v>
      </c>
      <c r="E2651" s="6">
        <f t="shared" si="3"/>
        <v>0</v>
      </c>
      <c r="F2651" s="5" t="s">
        <v>9</v>
      </c>
    </row>
    <row r="2652" spans="1:6" ht="29">
      <c r="A2652" s="1" t="s">
        <v>7766</v>
      </c>
      <c r="B2652" s="4" t="s">
        <v>7767</v>
      </c>
      <c r="C2652" s="3" t="s">
        <v>7768</v>
      </c>
      <c r="D2652" s="5" t="s">
        <v>9</v>
      </c>
      <c r="E2652" s="6">
        <f t="shared" si="3"/>
        <v>0</v>
      </c>
      <c r="F2652" s="5" t="s">
        <v>9</v>
      </c>
    </row>
    <row r="2653" spans="1:6" ht="29">
      <c r="A2653" s="1" t="s">
        <v>7769</v>
      </c>
      <c r="B2653" s="4" t="s">
        <v>7770</v>
      </c>
      <c r="C2653" s="3" t="s">
        <v>7771</v>
      </c>
      <c r="D2653" s="5" t="s">
        <v>9</v>
      </c>
      <c r="E2653" s="6">
        <f t="shared" si="3"/>
        <v>0</v>
      </c>
      <c r="F2653" s="5" t="s">
        <v>9</v>
      </c>
    </row>
    <row r="2654" spans="1:6" ht="43.5">
      <c r="A2654" s="1" t="s">
        <v>7772</v>
      </c>
      <c r="B2654" s="4" t="s">
        <v>7773</v>
      </c>
      <c r="C2654" s="3" t="s">
        <v>7774</v>
      </c>
      <c r="D2654" s="5" t="s">
        <v>9</v>
      </c>
      <c r="E2654" s="6">
        <f t="shared" si="3"/>
        <v>0</v>
      </c>
      <c r="F2654" s="5" t="s">
        <v>9</v>
      </c>
    </row>
    <row r="2655" spans="1:6" ht="29">
      <c r="A2655" s="1" t="s">
        <v>7775</v>
      </c>
      <c r="B2655" s="4" t="s">
        <v>7776</v>
      </c>
      <c r="C2655" s="3" t="s">
        <v>7777</v>
      </c>
      <c r="D2655" s="5" t="s">
        <v>9</v>
      </c>
      <c r="E2655" s="6">
        <f t="shared" si="3"/>
        <v>0</v>
      </c>
      <c r="F2655" s="5" t="s">
        <v>9</v>
      </c>
    </row>
    <row r="2656" spans="1:6" ht="43.5">
      <c r="A2656" s="1" t="s">
        <v>7778</v>
      </c>
      <c r="B2656" s="4" t="s">
        <v>7779</v>
      </c>
      <c r="C2656" s="3" t="s">
        <v>7780</v>
      </c>
      <c r="D2656" s="5" t="s">
        <v>9</v>
      </c>
      <c r="E2656" s="6">
        <f t="shared" si="3"/>
        <v>0</v>
      </c>
      <c r="F2656" s="5" t="s">
        <v>9</v>
      </c>
    </row>
    <row r="2657" spans="1:6" ht="43.5">
      <c r="A2657" s="1" t="s">
        <v>7781</v>
      </c>
      <c r="B2657" s="4" t="s">
        <v>7782</v>
      </c>
      <c r="C2657" s="3" t="s">
        <v>7783</v>
      </c>
      <c r="D2657" s="5" t="s">
        <v>9</v>
      </c>
      <c r="E2657" s="6">
        <f t="shared" si="3"/>
        <v>0</v>
      </c>
      <c r="F2657" s="5" t="s">
        <v>9</v>
      </c>
    </row>
    <row r="2658" spans="1:6" ht="29">
      <c r="A2658" s="1" t="s">
        <v>7784</v>
      </c>
      <c r="B2658" s="4" t="s">
        <v>7785</v>
      </c>
      <c r="C2658" s="3" t="s">
        <v>7786</v>
      </c>
      <c r="D2658" s="5" t="s">
        <v>9</v>
      </c>
      <c r="E2658" s="6">
        <f t="shared" si="3"/>
        <v>0</v>
      </c>
      <c r="F2658" s="5" t="s">
        <v>9</v>
      </c>
    </row>
    <row r="2659" spans="1:6" ht="43.5">
      <c r="A2659" s="1" t="s">
        <v>7787</v>
      </c>
      <c r="B2659" s="4" t="s">
        <v>7788</v>
      </c>
      <c r="C2659" s="3" t="s">
        <v>7789</v>
      </c>
      <c r="D2659" s="5" t="s">
        <v>9</v>
      </c>
      <c r="E2659" s="6">
        <f t="shared" si="3"/>
        <v>0</v>
      </c>
      <c r="F2659" s="5" t="s">
        <v>9</v>
      </c>
    </row>
    <row r="2660" spans="1:6" ht="43.5">
      <c r="A2660" s="1" t="s">
        <v>7790</v>
      </c>
      <c r="B2660" s="4" t="s">
        <v>7791</v>
      </c>
      <c r="C2660" s="3" t="s">
        <v>7792</v>
      </c>
      <c r="D2660" s="5" t="s">
        <v>9</v>
      </c>
      <c r="E2660" s="6">
        <f t="shared" si="3"/>
        <v>0</v>
      </c>
      <c r="F2660" s="5" t="s">
        <v>9</v>
      </c>
    </row>
    <row r="2661" spans="1:6" ht="43.5">
      <c r="A2661" s="1" t="s">
        <v>7793</v>
      </c>
      <c r="B2661" s="4" t="s">
        <v>7794</v>
      </c>
      <c r="C2661" s="3" t="s">
        <v>7795</v>
      </c>
      <c r="D2661" s="5" t="s">
        <v>9</v>
      </c>
      <c r="E2661" s="6">
        <f t="shared" si="3"/>
        <v>0</v>
      </c>
      <c r="F2661" s="5" t="s">
        <v>9</v>
      </c>
    </row>
    <row r="2662" spans="1:6" ht="43.5">
      <c r="A2662" s="1" t="s">
        <v>7796</v>
      </c>
      <c r="B2662" s="4" t="s">
        <v>7797</v>
      </c>
      <c r="C2662" s="3" t="s">
        <v>7798</v>
      </c>
      <c r="D2662" s="5" t="s">
        <v>9</v>
      </c>
      <c r="E2662" s="6">
        <f t="shared" si="3"/>
        <v>0</v>
      </c>
      <c r="F2662" s="5" t="s">
        <v>9</v>
      </c>
    </row>
    <row r="2663" spans="1:6" ht="29">
      <c r="A2663" s="1" t="s">
        <v>7799</v>
      </c>
      <c r="B2663" s="4" t="s">
        <v>7800</v>
      </c>
      <c r="C2663" s="3" t="s">
        <v>7801</v>
      </c>
      <c r="D2663" s="5" t="s">
        <v>8</v>
      </c>
      <c r="E2663" s="6">
        <f>VALUE(3595)</f>
        <v>3595</v>
      </c>
      <c r="F2663" s="5" t="s">
        <v>9</v>
      </c>
    </row>
    <row r="2664" spans="1:6">
      <c r="A2664" s="1" t="s">
        <v>7802</v>
      </c>
      <c r="B2664" s="4" t="s">
        <v>7803</v>
      </c>
      <c r="C2664" s="3" t="s">
        <v>7804</v>
      </c>
      <c r="D2664" s="5" t="s">
        <v>8</v>
      </c>
      <c r="E2664" s="6">
        <f>VALUE(315)</f>
        <v>315</v>
      </c>
      <c r="F2664" s="5" t="s">
        <v>9</v>
      </c>
    </row>
    <row r="2665" spans="1:6" ht="58">
      <c r="A2665" s="1" t="s">
        <v>7805</v>
      </c>
      <c r="B2665" s="4" t="s">
        <v>7806</v>
      </c>
      <c r="C2665" s="3" t="s">
        <v>7807</v>
      </c>
      <c r="D2665" s="5" t="s">
        <v>8</v>
      </c>
      <c r="E2665" s="6">
        <f>VALUE(16995)</f>
        <v>16995</v>
      </c>
      <c r="F2665" s="5" t="s">
        <v>9</v>
      </c>
    </row>
    <row r="2666" spans="1:6" ht="58">
      <c r="A2666" s="1" t="s">
        <v>7808</v>
      </c>
      <c r="B2666" s="4" t="s">
        <v>7809</v>
      </c>
      <c r="C2666" s="3" t="s">
        <v>7810</v>
      </c>
      <c r="D2666" s="5" t="s">
        <v>8</v>
      </c>
      <c r="E2666" s="6">
        <f>VALUE(8995)</f>
        <v>8995</v>
      </c>
      <c r="F2666" s="5" t="s">
        <v>9</v>
      </c>
    </row>
    <row r="2667" spans="1:6" ht="58">
      <c r="A2667" s="1" t="s">
        <v>7811</v>
      </c>
      <c r="B2667" s="4" t="s">
        <v>7812</v>
      </c>
      <c r="C2667" s="3" t="s">
        <v>7813</v>
      </c>
      <c r="D2667" s="5" t="s">
        <v>8</v>
      </c>
      <c r="E2667" s="6">
        <f>VALUE(16995)</f>
        <v>16995</v>
      </c>
      <c r="F2667" s="5" t="s">
        <v>9</v>
      </c>
    </row>
    <row r="2668" spans="1:6" ht="58">
      <c r="A2668" s="1" t="s">
        <v>7814</v>
      </c>
      <c r="B2668" s="4" t="s">
        <v>7815</v>
      </c>
      <c r="C2668" s="3" t="s">
        <v>7816</v>
      </c>
      <c r="D2668" s="5" t="s">
        <v>8</v>
      </c>
      <c r="E2668" s="6">
        <f>VALUE(37995)</f>
        <v>37995</v>
      </c>
      <c r="F2668" s="5" t="s">
        <v>9</v>
      </c>
    </row>
    <row r="2669" spans="1:6" ht="58">
      <c r="A2669" s="1" t="s">
        <v>7817</v>
      </c>
      <c r="B2669" s="4" t="s">
        <v>7818</v>
      </c>
      <c r="C2669" s="3" t="s">
        <v>7819</v>
      </c>
      <c r="D2669" s="5" t="s">
        <v>8</v>
      </c>
      <c r="E2669" s="6">
        <f>VALUE(19995)</f>
        <v>19995</v>
      </c>
      <c r="F2669" s="5" t="s">
        <v>9</v>
      </c>
    </row>
    <row r="2670" spans="1:6" ht="58">
      <c r="A2670" s="1" t="s">
        <v>7820</v>
      </c>
      <c r="B2670" s="4" t="s">
        <v>7821</v>
      </c>
      <c r="C2670" s="3" t="s">
        <v>7822</v>
      </c>
      <c r="D2670" s="5" t="s">
        <v>8</v>
      </c>
      <c r="E2670" s="6">
        <f>VALUE(37995)</f>
        <v>37995</v>
      </c>
      <c r="F2670" s="5" t="s">
        <v>9</v>
      </c>
    </row>
    <row r="2671" spans="1:6" ht="58">
      <c r="A2671" s="1" t="s">
        <v>7823</v>
      </c>
      <c r="B2671" s="4" t="s">
        <v>7824</v>
      </c>
      <c r="C2671" s="3" t="s">
        <v>7825</v>
      </c>
      <c r="D2671" s="5" t="s">
        <v>8</v>
      </c>
      <c r="E2671" s="6">
        <f>VALUE(17995)</f>
        <v>17995</v>
      </c>
      <c r="F2671" s="5" t="s">
        <v>9</v>
      </c>
    </row>
    <row r="2672" spans="1:6" ht="58">
      <c r="A2672" s="1" t="s">
        <v>7826</v>
      </c>
      <c r="B2672" s="4" t="s">
        <v>7827</v>
      </c>
      <c r="C2672" s="3" t="s">
        <v>7828</v>
      </c>
      <c r="D2672" s="5" t="s">
        <v>8</v>
      </c>
      <c r="E2672" s="6">
        <f>VALUE(31995)</f>
        <v>31995</v>
      </c>
      <c r="F2672" s="5" t="s">
        <v>9</v>
      </c>
    </row>
    <row r="2673" spans="1:6" ht="58">
      <c r="A2673" s="1" t="s">
        <v>7829</v>
      </c>
      <c r="B2673" s="4" t="s">
        <v>7830</v>
      </c>
      <c r="C2673" s="3" t="s">
        <v>7831</v>
      </c>
      <c r="D2673" s="5" t="s">
        <v>8</v>
      </c>
      <c r="E2673" s="6">
        <f>VALUE(75995)</f>
        <v>75995</v>
      </c>
      <c r="F2673" s="5" t="s">
        <v>9</v>
      </c>
    </row>
    <row r="2674" spans="1:6" ht="58">
      <c r="A2674" s="1" t="s">
        <v>7832</v>
      </c>
      <c r="B2674" s="4" t="s">
        <v>7833</v>
      </c>
      <c r="C2674" s="3" t="s">
        <v>7834</v>
      </c>
      <c r="D2674" s="5" t="s">
        <v>8</v>
      </c>
      <c r="E2674" s="6">
        <f>VALUE(32995)</f>
        <v>32995</v>
      </c>
      <c r="F2674" s="5" t="s">
        <v>9</v>
      </c>
    </row>
    <row r="2675" spans="1:6" ht="58">
      <c r="A2675" s="1" t="s">
        <v>7835</v>
      </c>
      <c r="B2675" s="4" t="s">
        <v>7836</v>
      </c>
      <c r="C2675" s="3" t="s">
        <v>7837</v>
      </c>
      <c r="D2675" s="5" t="s">
        <v>8</v>
      </c>
      <c r="E2675" s="6">
        <f>VALUE(1135135)</f>
        <v>1135135</v>
      </c>
      <c r="F2675" s="5" t="s">
        <v>9</v>
      </c>
    </row>
    <row r="2676" spans="1:6" ht="58">
      <c r="A2676" s="1" t="s">
        <v>7838</v>
      </c>
      <c r="B2676" s="4" t="s">
        <v>7839</v>
      </c>
      <c r="C2676" s="3" t="s">
        <v>7840</v>
      </c>
      <c r="D2676" s="5" t="s">
        <v>8</v>
      </c>
      <c r="E2676" s="6">
        <f>VALUE(722355)</f>
        <v>722355</v>
      </c>
      <c r="F2676" s="5" t="s">
        <v>9</v>
      </c>
    </row>
    <row r="2677" spans="1:6" ht="58">
      <c r="A2677" s="1" t="s">
        <v>7841</v>
      </c>
      <c r="B2677" s="4" t="s">
        <v>7842</v>
      </c>
      <c r="C2677" s="3" t="s">
        <v>7843</v>
      </c>
      <c r="D2677" s="5" t="s">
        <v>8</v>
      </c>
      <c r="E2677" s="6">
        <f>VALUE(1031940)</f>
        <v>1031940</v>
      </c>
      <c r="F2677" s="5" t="s">
        <v>9</v>
      </c>
    </row>
    <row r="2678" spans="1:6" ht="58">
      <c r="A2678" s="1" t="s">
        <v>7844</v>
      </c>
      <c r="B2678" s="4" t="s">
        <v>7845</v>
      </c>
      <c r="C2678" s="3" t="s">
        <v>7846</v>
      </c>
      <c r="D2678" s="5" t="s">
        <v>8</v>
      </c>
      <c r="E2678" s="6">
        <f>VALUE(1605240)</f>
        <v>1605240</v>
      </c>
      <c r="F2678" s="5" t="s">
        <v>9</v>
      </c>
    </row>
    <row r="2679" spans="1:6" ht="58">
      <c r="A2679" s="1" t="s">
        <v>7847</v>
      </c>
      <c r="B2679" s="4" t="s">
        <v>7848</v>
      </c>
      <c r="C2679" s="3" t="s">
        <v>7849</v>
      </c>
      <c r="D2679" s="5" t="s">
        <v>8</v>
      </c>
      <c r="E2679" s="6">
        <f>VALUE(162165)</f>
        <v>162165</v>
      </c>
      <c r="F2679" s="5" t="s">
        <v>9</v>
      </c>
    </row>
    <row r="2680" spans="1:6" ht="58">
      <c r="A2680" s="1" t="s">
        <v>7850</v>
      </c>
      <c r="B2680" s="4" t="s">
        <v>7851</v>
      </c>
      <c r="C2680" s="3" t="s">
        <v>7852</v>
      </c>
      <c r="D2680" s="5" t="s">
        <v>8</v>
      </c>
      <c r="E2680" s="6">
        <f>VALUE(103195)</f>
        <v>103195</v>
      </c>
      <c r="F2680" s="5" t="s">
        <v>9</v>
      </c>
    </row>
    <row r="2681" spans="1:6" ht="58">
      <c r="A2681" s="1" t="s">
        <v>7853</v>
      </c>
      <c r="B2681" s="4" t="s">
        <v>7854</v>
      </c>
      <c r="C2681" s="3" t="s">
        <v>7855</v>
      </c>
      <c r="D2681" s="5" t="s">
        <v>8</v>
      </c>
      <c r="E2681" s="6">
        <f>VALUE(147420)</f>
        <v>147420</v>
      </c>
      <c r="F2681" s="5" t="s">
        <v>9</v>
      </c>
    </row>
    <row r="2682" spans="1:6" ht="58">
      <c r="A2682" s="1" t="s">
        <v>7856</v>
      </c>
      <c r="B2682" s="4" t="s">
        <v>7857</v>
      </c>
      <c r="C2682" s="3" t="s">
        <v>7858</v>
      </c>
      <c r="D2682" s="5" t="s">
        <v>8</v>
      </c>
      <c r="E2682" s="6">
        <f>VALUE(229320)</f>
        <v>229320</v>
      </c>
      <c r="F2682" s="5" t="s">
        <v>9</v>
      </c>
    </row>
    <row r="2683" spans="1:6" ht="58">
      <c r="A2683" s="1" t="s">
        <v>7859</v>
      </c>
      <c r="B2683" s="4" t="s">
        <v>7860</v>
      </c>
      <c r="C2683" s="3" t="s">
        <v>7861</v>
      </c>
      <c r="D2683" s="5" t="s">
        <v>8</v>
      </c>
      <c r="E2683" s="6">
        <f>VALUE(1915)</f>
        <v>1915</v>
      </c>
      <c r="F2683" s="5" t="s">
        <v>9</v>
      </c>
    </row>
    <row r="2684" spans="1:6" ht="58">
      <c r="A2684" s="1" t="s">
        <v>7862</v>
      </c>
      <c r="B2684" s="4" t="s">
        <v>7863</v>
      </c>
      <c r="C2684" s="3" t="s">
        <v>7864</v>
      </c>
      <c r="D2684" s="5" t="s">
        <v>8</v>
      </c>
      <c r="E2684" s="6">
        <f>VALUE(795)</f>
        <v>795</v>
      </c>
      <c r="F2684" s="5" t="s">
        <v>9</v>
      </c>
    </row>
    <row r="2685" spans="1:6" ht="58">
      <c r="A2685" s="1" t="s">
        <v>7865</v>
      </c>
      <c r="B2685" s="4" t="s">
        <v>7866</v>
      </c>
      <c r="C2685" s="3" t="s">
        <v>7867</v>
      </c>
      <c r="D2685" s="5" t="s">
        <v>8</v>
      </c>
      <c r="E2685" s="6">
        <f>VALUE(635)</f>
        <v>635</v>
      </c>
      <c r="F2685" s="5" t="s">
        <v>9</v>
      </c>
    </row>
    <row r="2686" spans="1:6" ht="58">
      <c r="A2686" s="1" t="s">
        <v>7868</v>
      </c>
      <c r="B2686" s="4" t="s">
        <v>7869</v>
      </c>
      <c r="C2686" s="3" t="s">
        <v>7870</v>
      </c>
      <c r="D2686" s="5" t="s">
        <v>8</v>
      </c>
      <c r="E2686" s="6">
        <f>VALUE(1445)</f>
        <v>1445</v>
      </c>
      <c r="F2686" s="5" t="s">
        <v>9</v>
      </c>
    </row>
    <row r="2687" spans="1:6" ht="58">
      <c r="A2687" s="1" t="s">
        <v>7871</v>
      </c>
      <c r="B2687" s="4" t="s">
        <v>7872</v>
      </c>
      <c r="C2687" s="3" t="s">
        <v>7873</v>
      </c>
      <c r="D2687" s="5" t="s">
        <v>8</v>
      </c>
      <c r="E2687" s="6">
        <f>VALUE(1075)</f>
        <v>1075</v>
      </c>
      <c r="F2687" s="5" t="s">
        <v>9</v>
      </c>
    </row>
    <row r="2688" spans="1:6" ht="58">
      <c r="A2688" s="1" t="s">
        <v>7874</v>
      </c>
      <c r="B2688" s="4" t="s">
        <v>7875</v>
      </c>
      <c r="C2688" s="3" t="s">
        <v>7876</v>
      </c>
      <c r="D2688" s="5" t="s">
        <v>8</v>
      </c>
      <c r="E2688" s="6">
        <f>VALUE(1195)</f>
        <v>1195</v>
      </c>
      <c r="F2688" s="5" t="s">
        <v>9</v>
      </c>
    </row>
    <row r="2689" spans="1:6" ht="58">
      <c r="A2689" s="1" t="s">
        <v>7877</v>
      </c>
      <c r="B2689" s="4" t="s">
        <v>7878</v>
      </c>
      <c r="C2689" s="3" t="s">
        <v>7879</v>
      </c>
      <c r="D2689" s="5" t="s">
        <v>8</v>
      </c>
      <c r="E2689" s="6">
        <f>VALUE(3175)</f>
        <v>3175</v>
      </c>
      <c r="F2689" s="5" t="s">
        <v>9</v>
      </c>
    </row>
    <row r="2690" spans="1:6" ht="58">
      <c r="A2690" s="1" t="s">
        <v>7880</v>
      </c>
      <c r="B2690" s="4" t="s">
        <v>7881</v>
      </c>
      <c r="C2690" s="3" t="s">
        <v>7882</v>
      </c>
      <c r="D2690" s="5" t="s">
        <v>8</v>
      </c>
      <c r="E2690" s="6">
        <f>VALUE(1555)</f>
        <v>1555</v>
      </c>
      <c r="F2690" s="5" t="s">
        <v>9</v>
      </c>
    </row>
    <row r="2691" spans="1:6" ht="58">
      <c r="A2691" s="1" t="s">
        <v>7883</v>
      </c>
      <c r="B2691" s="4" t="s">
        <v>7884</v>
      </c>
      <c r="C2691" s="3" t="s">
        <v>7885</v>
      </c>
      <c r="D2691" s="5" t="s">
        <v>8</v>
      </c>
      <c r="E2691" s="6">
        <f>VALUE(1525)</f>
        <v>1525</v>
      </c>
      <c r="F2691" s="5" t="s">
        <v>9</v>
      </c>
    </row>
    <row r="2692" spans="1:6" ht="58">
      <c r="A2692" s="1" t="s">
        <v>7886</v>
      </c>
      <c r="B2692" s="4" t="s">
        <v>7887</v>
      </c>
      <c r="C2692" s="3" t="s">
        <v>7888</v>
      </c>
      <c r="D2692" s="5" t="s">
        <v>8</v>
      </c>
      <c r="E2692" s="6">
        <f>VALUE(109495)</f>
        <v>109495</v>
      </c>
      <c r="F2692" s="5" t="s">
        <v>9</v>
      </c>
    </row>
    <row r="2693" spans="1:6" ht="58">
      <c r="A2693" s="1" t="s">
        <v>7889</v>
      </c>
      <c r="B2693" s="4" t="s">
        <v>7890</v>
      </c>
      <c r="C2693" s="3" t="s">
        <v>7891</v>
      </c>
      <c r="D2693" s="5" t="s">
        <v>8</v>
      </c>
      <c r="E2693" s="6">
        <f>VALUE(111595)</f>
        <v>111595</v>
      </c>
      <c r="F2693" s="5" t="s">
        <v>9</v>
      </c>
    </row>
    <row r="2694" spans="1:6" ht="58">
      <c r="A2694" s="1" t="s">
        <v>7892</v>
      </c>
      <c r="B2694" s="4" t="s">
        <v>7893</v>
      </c>
      <c r="C2694" s="3" t="s">
        <v>7894</v>
      </c>
      <c r="D2694" s="5" t="s">
        <v>8</v>
      </c>
      <c r="E2694" s="6">
        <f>VALUE(15805)</f>
        <v>15805</v>
      </c>
      <c r="F2694" s="5" t="s">
        <v>9</v>
      </c>
    </row>
    <row r="2695" spans="1:6" ht="58">
      <c r="A2695" s="1" t="s">
        <v>7895</v>
      </c>
      <c r="B2695" s="4" t="s">
        <v>7896</v>
      </c>
      <c r="C2695" s="3" t="s">
        <v>7897</v>
      </c>
      <c r="D2695" s="5" t="s">
        <v>8</v>
      </c>
      <c r="E2695" s="6">
        <f>VALUE(16135)</f>
        <v>16135</v>
      </c>
      <c r="F2695" s="5" t="s">
        <v>9</v>
      </c>
    </row>
    <row r="2696" spans="1:6" ht="43.5">
      <c r="A2696" s="1" t="s">
        <v>7898</v>
      </c>
      <c r="B2696" s="4" t="s">
        <v>7899</v>
      </c>
      <c r="C2696" s="3" t="s">
        <v>7900</v>
      </c>
      <c r="D2696" s="5" t="s">
        <v>8</v>
      </c>
      <c r="E2696" s="6">
        <f>VALUE(3805)</f>
        <v>3805</v>
      </c>
      <c r="F2696" s="5" t="s">
        <v>9</v>
      </c>
    </row>
    <row r="2697" spans="1:6">
      <c r="A2697" s="1" t="s">
        <v>7901</v>
      </c>
      <c r="B2697" s="4" t="s">
        <v>7902</v>
      </c>
      <c r="C2697" s="3" t="s">
        <v>7903</v>
      </c>
      <c r="D2697" s="5" t="s">
        <v>8</v>
      </c>
      <c r="E2697" s="6">
        <f>VALUE(34995)</f>
        <v>34995</v>
      </c>
      <c r="F2697" s="5" t="s">
        <v>9</v>
      </c>
    </row>
    <row r="2698" spans="1:6">
      <c r="A2698" s="1" t="s">
        <v>7904</v>
      </c>
      <c r="B2698" s="4" t="s">
        <v>7905</v>
      </c>
      <c r="C2698" s="3" t="s">
        <v>7906</v>
      </c>
      <c r="D2698" s="5" t="s">
        <v>8</v>
      </c>
      <c r="E2698" s="6">
        <f>VALUE(40995)</f>
        <v>40995</v>
      </c>
      <c r="F2698" s="5" t="s">
        <v>9</v>
      </c>
    </row>
    <row r="2699" spans="1:6" ht="43.5">
      <c r="A2699" s="1" t="s">
        <v>7907</v>
      </c>
      <c r="B2699" s="4" t="s">
        <v>7908</v>
      </c>
      <c r="C2699" s="3" t="s">
        <v>7909</v>
      </c>
      <c r="D2699" s="5" t="s">
        <v>8</v>
      </c>
      <c r="E2699" s="6">
        <f>VALUE(2795)</f>
        <v>2795</v>
      </c>
      <c r="F2699" s="5" t="s">
        <v>9</v>
      </c>
    </row>
    <row r="2700" spans="1:6" ht="29">
      <c r="A2700" s="1" t="s">
        <v>7910</v>
      </c>
      <c r="B2700" s="4" t="s">
        <v>7911</v>
      </c>
      <c r="C2700" s="3" t="s">
        <v>7912</v>
      </c>
      <c r="D2700" s="5" t="s">
        <v>8</v>
      </c>
      <c r="E2700" s="6">
        <f>VALUE(1315)</f>
        <v>1315</v>
      </c>
      <c r="F2700" s="5" t="s">
        <v>9</v>
      </c>
    </row>
    <row r="2701" spans="1:6" ht="29">
      <c r="A2701" s="1" t="s">
        <v>7913</v>
      </c>
      <c r="B2701" s="4" t="s">
        <v>7914</v>
      </c>
      <c r="C2701" s="3" t="s">
        <v>7915</v>
      </c>
      <c r="D2701" s="5" t="s">
        <v>8</v>
      </c>
      <c r="E2701" s="6">
        <f>VALUE(3595)</f>
        <v>3595</v>
      </c>
      <c r="F2701" s="5" t="s">
        <v>9</v>
      </c>
    </row>
    <row r="2702" spans="1:6" ht="29">
      <c r="A2702" s="1" t="s">
        <v>7916</v>
      </c>
      <c r="B2702" s="4" t="s">
        <v>7917</v>
      </c>
      <c r="C2702" s="3" t="s">
        <v>7918</v>
      </c>
      <c r="D2702" s="5" t="s">
        <v>8</v>
      </c>
      <c r="E2702" s="6">
        <f>VALUE(1525)</f>
        <v>1525</v>
      </c>
      <c r="F2702" s="5" t="s">
        <v>9</v>
      </c>
    </row>
    <row r="2703" spans="1:6">
      <c r="A2703" s="1" t="s">
        <v>7919</v>
      </c>
      <c r="B2703" s="4" t="s">
        <v>7920</v>
      </c>
      <c r="C2703" s="3" t="s">
        <v>7921</v>
      </c>
      <c r="D2703" s="5" t="s">
        <v>8</v>
      </c>
      <c r="E2703" s="6">
        <f>VALUE(1235)</f>
        <v>1235</v>
      </c>
      <c r="F2703" s="5" t="s">
        <v>9</v>
      </c>
    </row>
    <row r="2704" spans="1:6" ht="58">
      <c r="A2704" s="1" t="s">
        <v>7922</v>
      </c>
      <c r="B2704" s="4" t="s">
        <v>7923</v>
      </c>
      <c r="C2704" s="3" t="s">
        <v>7924</v>
      </c>
      <c r="D2704" s="5" t="s">
        <v>8</v>
      </c>
      <c r="E2704" s="6">
        <f>VALUE(1295)</f>
        <v>1295</v>
      </c>
      <c r="F2704" s="5" t="s">
        <v>9</v>
      </c>
    </row>
    <row r="2705" spans="1:6" ht="58">
      <c r="A2705" s="1" t="s">
        <v>7925</v>
      </c>
      <c r="B2705" s="4" t="s">
        <v>7926</v>
      </c>
      <c r="C2705" s="3" t="s">
        <v>7927</v>
      </c>
      <c r="D2705" s="5" t="s">
        <v>8</v>
      </c>
      <c r="E2705" s="6">
        <f>VALUE(645)</f>
        <v>645</v>
      </c>
      <c r="F2705" s="5" t="s">
        <v>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242545FE60D43488387C02C760FB15F" ma:contentTypeVersion="16" ma:contentTypeDescription="Create a new document." ma:contentTypeScope="" ma:versionID="1d456f155bbd5b693ff246b1230e344e">
  <xsd:schema xmlns:xsd="http://www.w3.org/2001/XMLSchema" xmlns:xs="http://www.w3.org/2001/XMLSchema" xmlns:p="http://schemas.microsoft.com/office/2006/metadata/properties" xmlns:ns2="2c5580d3-357a-47d1-b285-f56276cdfcb3" xmlns:ns3="9a259095-1cce-49ba-8135-cc93aa06fc37" xmlns:ns4="66366451-e321-41bb-ba10-16e5664b3d11" targetNamespace="http://schemas.microsoft.com/office/2006/metadata/properties" ma:root="true" ma:fieldsID="d0cf2903c2e505a9edf41db3ae255646" ns2:_="" ns3:_="" ns4:_="">
    <xsd:import namespace="2c5580d3-357a-47d1-b285-f56276cdfcb3"/>
    <xsd:import namespace="9a259095-1cce-49ba-8135-cc93aa06fc37"/>
    <xsd:import namespace="66366451-e321-41bb-ba10-16e5664b3d1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4:MediaServiceSearchProperties"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c5580d3-357a-47d1-b285-f56276cdfcb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a259095-1cce-49ba-8135-cc93aa06fc37"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6366451-e321-41bb-ba10-16e5664b3d11" elementFormDefault="qualified">
    <xsd:import namespace="http://schemas.microsoft.com/office/2006/documentManagement/types"/>
    <xsd:import namespace="http://schemas.microsoft.com/office/infopath/2007/PartnerControls"/>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F8D7607-610B-4E02-A3DB-8A30EFBCA828}"/>
</file>

<file path=customXml/itemProps2.xml><?xml version="1.0" encoding="utf-8"?>
<ds:datastoreItem xmlns:ds="http://schemas.openxmlformats.org/officeDocument/2006/customXml" ds:itemID="{DD07F4C8-A4B7-422F-BE39-4FAD50FFB45B}"/>
</file>

<file path=customXml/itemProps3.xml><?xml version="1.0" encoding="utf-8"?>
<ds:datastoreItem xmlns:ds="http://schemas.openxmlformats.org/officeDocument/2006/customXml" ds:itemID="{37E32A1A-8CC2-44A8-8BC5-325FF3AE304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Joe Baires</dc:creator>
  <cp:lastModifiedBy>Dimitri Paras</cp:lastModifiedBy>
  <dcterms:created xsi:type="dcterms:W3CDTF">2022-10-06T16:51:41Z</dcterms:created>
  <dcterms:modified xsi:type="dcterms:W3CDTF">2022-10-07T07:42:28Z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0x010100E242545FE60D43488387C02C760FB15F</vt:lpwstr>
  </property>
  <property fmtid="{D5CDD505-2E9C-101B-9397-08002B2CF9AE}" pid="3" name="GUID">
    <vt:lpwstr>0f2c2d49-0ebf-404e-9bca-1ce0934e9802</vt:lpwstr>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_SourceUrl">
    <vt:lpwstr/>
  </property>
  <property fmtid="{D5CDD505-2E9C-101B-9397-08002B2CF9AE}" pid="9" name="_SharedFileIndex">
    <vt:lpwstr/>
  </property>
  <property fmtid="{D5CDD505-2E9C-101B-9397-08002B2CF9AE}" pid="10" name="TemplateUrl">
    <vt:lpwstr/>
  </property>
  <property fmtid="{D5CDD505-2E9C-101B-9397-08002B2CF9AE}" pid="11" name="ComplianceAssetId">
    <vt:lpwstr/>
  </property>
</Properties>
</file>